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1505" windowHeight="6360" tabRatio="877" activeTab="0"/>
  </bookViews>
  <sheets>
    <sheet name="Client Info" sheetId="1" r:id="rId1"/>
    <sheet name="Inc Stmt" sheetId="2" r:id="rId2"/>
    <sheet name="Dedicated Exp" sheetId="3" r:id="rId3"/>
    <sheet name="Goal Cost Estimator" sheetId="4" r:id="rId4"/>
    <sheet name="Discretionary Exp" sheetId="5" r:id="rId5"/>
    <sheet name="Bal Sheet" sheetId="6" r:id="rId6"/>
    <sheet name="Inc Tax Estimator" sheetId="7" r:id="rId7"/>
    <sheet name="Income Tax Sch" sheetId="8" r:id="rId8"/>
    <sheet name="Tax Exemption Sch" sheetId="9" r:id="rId9"/>
    <sheet name="Education Cost Estimator" sheetId="10" r:id="rId10"/>
    <sheet name="Education Data" sheetId="11" state="hidden" r:id="rId11"/>
    <sheet name="Life Ins Estimator" sheetId="12" r:id="rId12"/>
    <sheet name="Disability Ins Estimator" sheetId="13" r:id="rId13"/>
    <sheet name="Retirement Need Estimator" sheetId="14" r:id="rId14"/>
    <sheet name="Estate Tax Estimator" sheetId="15" r:id="rId15"/>
    <sheet name="Estate Tax Sch" sheetId="16" r:id="rId16"/>
    <sheet name="Warnings &amp; Alerts" sheetId="17" state="hidden" r:id="rId17"/>
    <sheet name="Summary Page" sheetId="18" r:id="rId18"/>
  </sheets>
  <definedNames>
    <definedName name="Add_Deduct">'Income Tax Sch'!$F$15:$H$18</definedName>
    <definedName name="Head_Tax">'Income Tax Sch'!$B$36:$D$41</definedName>
    <definedName name="Joint_Tax">'Income Tax Sch'!$B$16:$D$21</definedName>
    <definedName name="_xlnm.Print_Titles" localSheetId="4">'Discretionary Exp'!$1:$1</definedName>
    <definedName name="_xlnm.Print_Titles" localSheetId="10">'Education Data'!$A:$B</definedName>
    <definedName name="Seperate_Tax">'Income Tax Sch'!$B$26:$D$31</definedName>
    <definedName name="Single_Tax">'Income Tax Sch'!$B$6:$D$11</definedName>
    <definedName name="solver_adj" localSheetId="10" hidden="1">'Education Data'!#REF!</definedName>
    <definedName name="solver_cvg" localSheetId="10" hidden="1">0.0001</definedName>
    <definedName name="solver_drv" localSheetId="10" hidden="1">1</definedName>
    <definedName name="solver_est" localSheetId="10" hidden="1">1</definedName>
    <definedName name="solver_itr" localSheetId="10" hidden="1">100</definedName>
    <definedName name="solver_lin" localSheetId="10" hidden="1">2</definedName>
    <definedName name="solver_neg" localSheetId="10" hidden="1">2</definedName>
    <definedName name="solver_num" localSheetId="10" hidden="1">0</definedName>
    <definedName name="solver_nwt" localSheetId="10" hidden="1">1</definedName>
    <definedName name="solver_opt" localSheetId="10" hidden="1">'Education Data'!#REF!</definedName>
    <definedName name="solver_pre" localSheetId="10" hidden="1">0.000001</definedName>
    <definedName name="solver_scl" localSheetId="10" hidden="1">2</definedName>
    <definedName name="solver_sho" localSheetId="10" hidden="1">2</definedName>
    <definedName name="solver_tim" localSheetId="10" hidden="1">100</definedName>
    <definedName name="solver_tol" localSheetId="10" hidden="1">0.05</definedName>
    <definedName name="solver_typ" localSheetId="10" hidden="1">3</definedName>
    <definedName name="solver_val" localSheetId="10" hidden="1">35917</definedName>
    <definedName name="Std_Deduct">'Income Tax Sch'!$F$8:$H$11</definedName>
  </definedNames>
  <calcPr fullCalcOnLoad="1"/>
</workbook>
</file>

<file path=xl/comments1.xml><?xml version="1.0" encoding="utf-8"?>
<comments xmlns="http://schemas.openxmlformats.org/spreadsheetml/2006/main">
  <authors>
    <author>Derek D. Klock</author>
  </authors>
  <commentList>
    <comment ref="A4" authorId="0">
      <text>
        <r>
          <rPr>
            <b/>
            <sz val="8"/>
            <rFont val="Tahoma"/>
            <family val="0"/>
          </rPr>
          <t>The primary earner should be input as the client.</t>
        </r>
      </text>
    </comment>
    <comment ref="E4" authorId="0">
      <text>
        <r>
          <rPr>
            <b/>
            <sz val="8"/>
            <rFont val="Tahoma"/>
            <family val="0"/>
          </rPr>
          <t>The secondary earner or non-working client should be input as the co-client.
Ideally, if the clients are not married, separate sheets should be completed on each.  This is due primarily to taxation issues.</t>
        </r>
      </text>
    </comment>
    <comment ref="D8" authorId="0">
      <text>
        <r>
          <rPr>
            <b/>
            <sz val="8"/>
            <rFont val="Tahoma"/>
            <family val="0"/>
          </rPr>
          <t>To be conservative, round entry up to the next full year.
Example: If the exact full retirement age is 66 years and 6 months then enter 67.</t>
        </r>
      </text>
    </comment>
    <comment ref="H8" authorId="0">
      <text>
        <r>
          <rPr>
            <b/>
            <sz val="8"/>
            <rFont val="Tahoma"/>
            <family val="0"/>
          </rPr>
          <t>To be conservative, round entry up to the next full year.
Example: If the exact full retirement age is 66 years and 6 months then enter 67.</t>
        </r>
      </text>
    </comment>
    <comment ref="A18" authorId="0">
      <text>
        <r>
          <rPr>
            <b/>
            <sz val="8"/>
            <rFont val="Tahoma"/>
            <family val="0"/>
          </rPr>
          <t>Only enter children that are of a planning concern; meaning that if a child is financially independent and/or not living at home then he or she should not be included in this worksheet.</t>
        </r>
      </text>
    </comment>
    <comment ref="F37" authorId="0">
      <text>
        <r>
          <rPr>
            <b/>
            <sz val="8"/>
            <rFont val="Tahoma"/>
            <family val="0"/>
          </rPr>
          <t>If no co-client leave cell blank.  If non-working co-client enter "0".</t>
        </r>
      </text>
    </comment>
  </commentList>
</comments>
</file>

<file path=xl/comments10.xml><?xml version="1.0" encoding="utf-8"?>
<comments xmlns="http://schemas.openxmlformats.org/spreadsheetml/2006/main">
  <authors>
    <author>Derek D. Klock</author>
  </authors>
  <commentList>
    <comment ref="D9" authorId="0">
      <text>
        <r>
          <rPr>
            <b/>
            <sz val="8"/>
            <rFont val="Tahoma"/>
            <family val="0"/>
          </rPr>
          <t>The "gross" return should be entered without regard to account taxablity.  Tax status of the account will approprately adjust the return to reflect any tax implications.</t>
        </r>
      </text>
    </comment>
    <comment ref="D25" authorId="0">
      <text>
        <r>
          <rPr>
            <b/>
            <sz val="8"/>
            <rFont val="Tahoma"/>
            <family val="0"/>
          </rPr>
          <t>The "gross" return should be entered without regard to account taxablity.  Tax status of the account will approprately adjust the return to reflect any tax implications.</t>
        </r>
      </text>
    </comment>
    <comment ref="D41" authorId="0">
      <text>
        <r>
          <rPr>
            <b/>
            <sz val="8"/>
            <rFont val="Tahoma"/>
            <family val="0"/>
          </rPr>
          <t>The "gross" return should be entered without regard to account taxablity.  Tax status of the account will approprately adjust the return to reflect any tax implications.</t>
        </r>
      </text>
    </comment>
  </commentList>
</comments>
</file>

<file path=xl/comments12.xml><?xml version="1.0" encoding="utf-8"?>
<comments xmlns="http://schemas.openxmlformats.org/spreadsheetml/2006/main">
  <authors>
    <author>Derek D. Klock</author>
    <author>Derek Klock</author>
  </authors>
  <commentList>
    <comment ref="E37" authorId="0">
      <text>
        <r>
          <rPr>
            <b/>
            <sz val="8"/>
            <rFont val="Tahoma"/>
            <family val="0"/>
          </rPr>
          <t>Enter 0% if the investments are tax-deferred or tax-free.</t>
        </r>
      </text>
    </comment>
    <comment ref="H37" authorId="0">
      <text>
        <r>
          <rPr>
            <b/>
            <sz val="8"/>
            <rFont val="Tahoma"/>
            <family val="0"/>
          </rPr>
          <t>Enter 0% if the investments are tax-deferred or tax-free.</t>
        </r>
      </text>
    </comment>
    <comment ref="E73" authorId="0">
      <text>
        <r>
          <rPr>
            <b/>
            <sz val="8"/>
            <rFont val="Tahoma"/>
            <family val="0"/>
          </rPr>
          <t>Enter 0% if the investments are tax-deferred or tax-free.</t>
        </r>
      </text>
    </comment>
    <comment ref="H73" authorId="0">
      <text>
        <r>
          <rPr>
            <b/>
            <sz val="8"/>
            <rFont val="Tahoma"/>
            <family val="0"/>
          </rPr>
          <t>Enter 0% if the investments are tax-deferred or tax-free.</t>
        </r>
      </text>
    </comment>
    <comment ref="E69" authorId="0">
      <text>
        <r>
          <rPr>
            <b/>
            <sz val="8"/>
            <rFont val="Tahoma"/>
            <family val="0"/>
          </rPr>
          <t>If a lumpsum amount is entered here, be sure to adjust estimated living expenses by the appropriate periodic savings amount since the goal will be completely funded.</t>
        </r>
      </text>
    </comment>
    <comment ref="H69" authorId="0">
      <text>
        <r>
          <rPr>
            <b/>
            <sz val="8"/>
            <rFont val="Tahoma"/>
            <family val="0"/>
          </rPr>
          <t>If a lumpsum amount is entered here, be sure to adjust estimated living expenses by the appropriate periodic savings amount since the goal will be completely funded.</t>
        </r>
      </text>
    </comment>
    <comment ref="C69" authorId="0">
      <text>
        <r>
          <rPr>
            <b/>
            <sz val="8"/>
            <rFont val="Tahoma"/>
            <family val="0"/>
          </rPr>
          <t>College costs, if applicable, should be determined with the Education Cost Estimator.  Any lump-sum funding needed values found there for different children should be added together to determine the total lump-sum of current funding necessary.</t>
        </r>
      </text>
    </comment>
    <comment ref="C59" authorId="0">
      <text>
        <r>
          <rPr>
            <b/>
            <sz val="8"/>
            <rFont val="Tahoma"/>
            <family val="0"/>
          </rPr>
          <t>The anticipated survivor income may be different than their current income due to a change in (employment, employment status, hours worked, etc.)  as a result of the death of the decedent.</t>
        </r>
      </text>
    </comment>
    <comment ref="C101" authorId="0">
      <text>
        <r>
          <rPr>
            <b/>
            <sz val="8"/>
            <rFont val="Tahoma"/>
            <family val="0"/>
          </rPr>
          <t>While for educational purposes it is probably safe to assume that either client will have access to all financial assets upon the decedent's death; in practice, a planner should never assume that solely owned assets will be transfered to the survivor.</t>
        </r>
      </text>
    </comment>
    <comment ref="E64" authorId="0">
      <text>
        <r>
          <rPr>
            <b/>
            <sz val="8"/>
            <rFont val="Tahoma"/>
            <family val="0"/>
          </rPr>
          <t>The survivor in this case is the co-client.</t>
        </r>
      </text>
    </comment>
    <comment ref="H64" authorId="0">
      <text>
        <r>
          <rPr>
            <b/>
            <sz val="8"/>
            <rFont val="Tahoma"/>
            <family val="0"/>
          </rPr>
          <t>The survivor in this case is the client.</t>
        </r>
      </text>
    </comment>
    <comment ref="C80" authorId="0">
      <text>
        <r>
          <rPr>
            <b/>
            <sz val="8"/>
            <rFont val="Tahoma"/>
            <family val="0"/>
          </rPr>
          <t>As a general guideline expenses normally drop slightly at the beginning of retirement due to reduced employment related expenses, hold steady for a number of years, and then gradually increase due to increased medical expenses.</t>
        </r>
      </text>
    </comment>
    <comment ref="C82" authorId="1">
      <text>
        <r>
          <rPr>
            <b/>
            <sz val="8"/>
            <rFont val="Tahoma"/>
            <family val="0"/>
          </rPr>
          <t>Remember: Social Security spousal survivor benefits are based on the decendent's contributions to Social Secuirty and could be reduced by the surviving spouse's earned income.</t>
        </r>
      </text>
    </comment>
    <comment ref="C47" authorId="1">
      <text>
        <r>
          <rPr>
            <b/>
            <sz val="8"/>
            <rFont val="Tahoma"/>
            <family val="0"/>
          </rPr>
          <t>The anticipated survivor income may be different than the survivor's current income due to a change in (employment, employment status, hours worked, etc.)  as a result of the death of the decedent.</t>
        </r>
      </text>
    </comment>
    <comment ref="C46" authorId="1">
      <text>
        <r>
          <rPr>
            <b/>
            <sz val="8"/>
            <rFont val="Tahoma"/>
            <family val="0"/>
          </rPr>
          <t>Remember: Social Security dependent survivor benefits are based on the decedent's contributions to Social Security, could be reduced by the surviving spouse's earned income.  A surviving spouse may receive benefits while caring for a benefit eligible child age 16 or younger, and unmarried children may receive benefits until age 18.</t>
        </r>
      </text>
    </comment>
    <comment ref="C31" authorId="1">
      <text>
        <r>
          <rPr>
            <b/>
            <sz val="8"/>
            <rFont val="Tahoma"/>
            <family val="0"/>
          </rPr>
          <t>"Historical" expenses use the total household expense, not including taxes or salary reductions, from the Annual Income Statement as reflected in row 6 above.
"User-defined" expense allows for the entry of a different amount in row 33 because the previous expenses are not deemed to be a good estimate.  However, these new expense estimations should NOT take into account any anticipated expense reductions due to the death of the decedent; those reduction are subtracted later in the spreadsheet.</t>
        </r>
      </text>
    </comment>
    <comment ref="B118" authorId="1">
      <text>
        <r>
          <rPr>
            <b/>
            <sz val="8"/>
            <rFont val="Tahoma"/>
            <family val="0"/>
          </rPr>
          <t xml:space="preserve">The HLV approach bases the continuing stream of income from the life insurance benefits on the </t>
        </r>
        <r>
          <rPr>
            <b/>
            <sz val="8"/>
            <color indexed="10"/>
            <rFont val="Tahoma"/>
            <family val="2"/>
          </rPr>
          <t>expected income of the decedent</t>
        </r>
        <r>
          <rPr>
            <b/>
            <sz val="8"/>
            <rFont val="Tahoma"/>
            <family val="0"/>
          </rPr>
          <t xml:space="preserve"> had they continued working until a normal retirement age.  This income level may then be adjusted for self-maintenance cost, taxes, associated life insurance costs, or any other reasonable adjustment.</t>
        </r>
      </text>
    </comment>
    <comment ref="C113" authorId="1">
      <text>
        <r>
          <rPr>
            <b/>
            <sz val="8"/>
            <rFont val="Tahoma"/>
            <family val="0"/>
          </rPr>
          <t>This adjustment is used to simulate continued increases (growing annuity/perpetuity) in the desired annual benefits as would be the case with the hypothetical salary increases had the decedent continued working.  If no "inflation" increases are desired (fixed annuity/perpetuity) then enter 0.</t>
        </r>
      </text>
    </comment>
    <comment ref="B123" authorId="1">
      <text>
        <r>
          <rPr>
            <b/>
            <sz val="8"/>
            <rFont val="Tahoma"/>
            <family val="0"/>
          </rPr>
          <t xml:space="preserve">The CR approach bases the continuing stream of income from the life insurance benefits </t>
        </r>
        <r>
          <rPr>
            <b/>
            <sz val="8"/>
            <color indexed="10"/>
            <rFont val="Tahoma"/>
            <family val="2"/>
          </rPr>
          <t>on the expected income</t>
        </r>
        <r>
          <rPr>
            <b/>
            <sz val="8"/>
            <rFont val="Tahoma"/>
            <family val="0"/>
          </rPr>
          <t xml:space="preserve"> of the decedent had the decedent continued working until a normal retirement age.   Unlike the HLV approach the CR approach uses a perpetuity formula to determine the need.  Again, this income level may be adjusted for self-maintenance cost (replacement ratio), taxes, associated life insurance costs, or any other reasonable adjustment.</t>
        </r>
      </text>
    </comment>
    <comment ref="B128" authorId="1">
      <text>
        <r>
          <rPr>
            <b/>
            <sz val="8"/>
            <rFont val="Tahoma"/>
            <family val="0"/>
          </rPr>
          <t xml:space="preserve">The IR approach bases the continuing stream of income from the life insurance benefits on the </t>
        </r>
        <r>
          <rPr>
            <b/>
            <sz val="8"/>
            <color indexed="10"/>
            <rFont val="Tahoma"/>
            <family val="2"/>
          </rPr>
          <t>desired income of the survivor</t>
        </r>
        <r>
          <rPr>
            <b/>
            <sz val="8"/>
            <rFont val="Tahoma"/>
            <family val="0"/>
          </rPr>
          <t>.  This income level should be adjusted by any continuous income earned/received by the survivor and also may then be adjusted for the income taxes associated with the decedents income or any other reasonable adjustment.</t>
        </r>
      </text>
    </comment>
    <comment ref="C132" authorId="1">
      <text>
        <r>
          <rPr>
            <b/>
            <sz val="8"/>
            <rFont val="Tahoma"/>
            <family val="0"/>
          </rPr>
          <t>This income could include salary/wages, income received from other investments, Social Security benefits, or pension benefits.</t>
        </r>
      </text>
    </comment>
    <comment ref="C131" authorId="1">
      <text>
        <r>
          <rPr>
            <b/>
            <sz val="8"/>
            <rFont val="Tahoma"/>
            <family val="0"/>
          </rPr>
          <t>This income level should maintain the current standard of living and not be a gross overstatement.</t>
        </r>
      </text>
    </comment>
  </commentList>
</comments>
</file>

<file path=xl/comments13.xml><?xml version="1.0" encoding="utf-8"?>
<comments xmlns="http://schemas.openxmlformats.org/spreadsheetml/2006/main">
  <authors>
    <author>Derek D. Klock</author>
    <author>Derek Klock</author>
  </authors>
  <commentList>
    <comment ref="I17" authorId="0">
      <text>
        <r>
          <rPr>
            <b/>
            <sz val="8"/>
            <rFont val="Tahoma"/>
            <family val="0"/>
          </rPr>
          <t xml:space="preserve">If savings is </t>
        </r>
        <r>
          <rPr>
            <b/>
            <sz val="8"/>
            <color indexed="10"/>
            <rFont val="Tahoma"/>
            <family val="2"/>
          </rPr>
          <t>not</t>
        </r>
        <r>
          <rPr>
            <b/>
            <sz val="8"/>
            <rFont val="Tahoma"/>
            <family val="0"/>
          </rPr>
          <t xml:space="preserve"> continued - and "</t>
        </r>
        <r>
          <rPr>
            <b/>
            <sz val="8"/>
            <color indexed="10"/>
            <rFont val="Tahoma"/>
            <family val="2"/>
          </rPr>
          <t>No</t>
        </r>
        <r>
          <rPr>
            <b/>
            <sz val="8"/>
            <rFont val="Tahoma"/>
            <family val="0"/>
          </rPr>
          <t xml:space="preserve">" is entered, </t>
        </r>
        <r>
          <rPr>
            <b/>
            <sz val="8"/>
            <color indexed="10"/>
            <rFont val="Tahoma"/>
            <family val="2"/>
          </rPr>
          <t xml:space="preserve">ALL </t>
        </r>
        <r>
          <rPr>
            <b/>
            <sz val="8"/>
            <rFont val="Tahoma"/>
            <family val="0"/>
          </rPr>
          <t>savings goal costs entered on the Dedicated Expense page are removed from consideration for the disability calculations.</t>
        </r>
      </text>
    </comment>
    <comment ref="I29" authorId="0">
      <text>
        <r>
          <rPr>
            <b/>
            <sz val="8"/>
            <rFont val="Tahoma"/>
            <family val="0"/>
          </rPr>
          <t>Joint disability calculations are included in the event that both clients become disabled at the same time or during an overlapping period.</t>
        </r>
      </text>
    </comment>
    <comment ref="I69" authorId="0">
      <text>
        <r>
          <rPr>
            <b/>
            <sz val="8"/>
            <rFont val="Tahoma"/>
            <family val="0"/>
          </rPr>
          <t>A joint long-term effective elimination period is not a relevant statistic, because the elimination periods most likely would not overlap.</t>
        </r>
      </text>
    </comment>
    <comment ref="B53" authorId="0">
      <text>
        <r>
          <rPr>
            <b/>
            <sz val="8"/>
            <rFont val="Tahoma"/>
            <family val="0"/>
          </rPr>
          <t>*Taxes could be slightly overstated because deductions and exemptions are not included in the tax calculations on benefits.  The Elderly and Disabled Tax Credit is also not included in these calculations.</t>
        </r>
      </text>
    </comment>
    <comment ref="C45" authorId="0">
      <text>
        <r>
          <rPr>
            <b/>
            <sz val="8"/>
            <rFont val="Tahoma"/>
            <family val="0"/>
          </rPr>
          <t>Disability benefits received from an individually purchased policy are typically received tax-free.</t>
        </r>
      </text>
    </comment>
    <comment ref="C48" authorId="0">
      <text>
        <r>
          <rPr>
            <b/>
            <sz val="8"/>
            <rFont val="Tahoma"/>
            <family val="0"/>
          </rPr>
          <t>Disability benefits received from an employer provided/paid for policy are typically taxable upon receipt.</t>
        </r>
      </text>
    </comment>
    <comment ref="C49" authorId="0">
      <text>
        <r>
          <rPr>
            <b/>
            <sz val="8"/>
            <rFont val="Tahoma"/>
            <family val="0"/>
          </rPr>
          <t xml:space="preserve">Up to 50% of Soc Sec benefits are taxable if (AGI + tax-exempt interest + 1/2 of Soc Sec benefits) is greater than $25,000 for a single taxpayer or greater than $32,000 for a married taxpayer filing jointly.
Up to 85% of Soc Sec benefits are taxable if (AGI + tax-exempt interest + 1/2 of Soc Sec benefits) is greater than $34,000 for a single taxpayer or greater than $44,000 for a married taxpayer filing jointly.
</t>
        </r>
        <r>
          <rPr>
            <b/>
            <sz val="8"/>
            <color indexed="10"/>
            <rFont val="Tahoma"/>
            <family val="2"/>
          </rPr>
          <t xml:space="preserve">These are estimation guidelines only and should be treated as such. </t>
        </r>
      </text>
    </comment>
    <comment ref="C46" authorId="0">
      <text>
        <r>
          <rPr>
            <b/>
            <sz val="8"/>
            <rFont val="Tahoma"/>
            <family val="0"/>
          </rPr>
          <t xml:space="preserve">Up to 50% of Soc Sec benefits are taxable if (AGI + tax-exempt interest + 1/2 of Soc Sec benefits) is greater than $25,000 for a single taxpayer or greater than $32,000 for a married taxpayer filing jointly.
Up to 85% of Soc Sec benefits are taxable if (AGI + tax-exempt interest + 1/2 of Soc Sec benefits) is greater than $34,000 for a single taxpayer or greater than $44,000 for a married taxpayer filing jointly.
</t>
        </r>
        <r>
          <rPr>
            <b/>
            <sz val="8"/>
            <color indexed="10"/>
            <rFont val="Tahoma"/>
            <family val="2"/>
          </rPr>
          <t xml:space="preserve">These are estimation guidelines only and should be treated as such. </t>
        </r>
      </text>
    </comment>
    <comment ref="B61" authorId="0">
      <text>
        <r>
          <rPr>
            <b/>
            <sz val="8"/>
            <rFont val="Tahoma"/>
            <family val="0"/>
          </rPr>
          <t>This ratio shows the percentage of monthly expenses covered during a short-term disability, based on the assumptions entered.</t>
        </r>
      </text>
    </comment>
    <comment ref="B27" authorId="0">
      <text>
        <r>
          <rPr>
            <b/>
            <sz val="8"/>
            <rFont val="Tahoma"/>
            <family val="0"/>
          </rPr>
          <t>This ratio shows the percentage of monthly expenses covered prior to a disability, based on the assumptions entered.</t>
        </r>
      </text>
    </comment>
    <comment ref="C89" authorId="0">
      <text>
        <r>
          <rPr>
            <b/>
            <sz val="8"/>
            <rFont val="Tahoma"/>
            <family val="0"/>
          </rPr>
          <t>This ratio shows the percentage of monthly expenses covered during a long-term disability, based on the assumptions entered.</t>
        </r>
      </text>
    </comment>
    <comment ref="B30" authorId="0">
      <text>
        <r>
          <rPr>
            <b/>
            <sz val="8"/>
            <rFont val="Tahoma"/>
            <family val="0"/>
          </rPr>
          <t>Calculations in this section are based on earned income because unearned income should not be affected by a disability.</t>
        </r>
      </text>
    </comment>
    <comment ref="C69" authorId="0">
      <text>
        <r>
          <rPr>
            <b/>
            <sz val="8"/>
            <rFont val="Tahoma"/>
            <family val="0"/>
          </rPr>
          <t xml:space="preserve">Remember, the </t>
        </r>
        <r>
          <rPr>
            <b/>
            <sz val="8"/>
            <color indexed="10"/>
            <rFont val="Tahoma"/>
            <family val="2"/>
          </rPr>
          <t>effective</t>
        </r>
        <r>
          <rPr>
            <b/>
            <sz val="8"/>
            <rFont val="Tahoma"/>
            <family val="0"/>
          </rPr>
          <t xml:space="preserve"> long-term elimination period takes into account the long-term elimination period and short-term policy benefit period, if applicable.
</t>
        </r>
        <r>
          <rPr>
            <b/>
            <sz val="8"/>
            <color indexed="10"/>
            <rFont val="Tahoma"/>
            <family val="2"/>
          </rPr>
          <t>For planning purposes, the effective long-term elimination period should be zero, if possible.</t>
        </r>
      </text>
    </comment>
    <comment ref="C77" authorId="0">
      <text>
        <r>
          <rPr>
            <b/>
            <sz val="8"/>
            <rFont val="Tahoma"/>
            <family val="0"/>
          </rPr>
          <t xml:space="preserve">Up to 50% of Soc Sec benefits are taxable if (AGI + tax-exempt interest + 1/2 of Soc Sec benefits) is greater than $25,000 for a single taxpayer or greater than $32,000 for a married taxpayer filing jointly.
Up to 85% of Soc Sec benefits are taxable if (AGI + tax-exempt interest + 1/2 of Soc Sec benefits) is greater than $34,000 for a single taxpayer or greater than $44,000 for a married taxpayer filing jointly.
</t>
        </r>
        <r>
          <rPr>
            <b/>
            <sz val="8"/>
            <color indexed="10"/>
            <rFont val="Tahoma"/>
            <family val="2"/>
          </rPr>
          <t xml:space="preserve">These are estimation guidelines only and should be treated as such. </t>
        </r>
      </text>
    </comment>
    <comment ref="C74" authorId="0">
      <text>
        <r>
          <rPr>
            <b/>
            <sz val="8"/>
            <rFont val="Tahoma"/>
            <family val="0"/>
          </rPr>
          <t xml:space="preserve">Up to 50% of Soc Sec benefits are taxable if (AGI + tax-exempt interest + 1/2 of Soc Sec benefits) is greater than $25,000 for a single taxpayer or greater than $32,000 for a married taxpayer filing jointly.
Up to 85% of Soc Sec benefits are taxable if (AGI + tax-exempt interest + 1/2 of Soc Sec benefits) is greater than $34,000 for a single taxpayer or greater than $44,000 for a married taxpayer filing jointly.
</t>
        </r>
        <r>
          <rPr>
            <b/>
            <sz val="8"/>
            <color indexed="10"/>
            <rFont val="Tahoma"/>
            <family val="2"/>
          </rPr>
          <t xml:space="preserve">These are estimation guidelines only and should be treated as such. </t>
        </r>
      </text>
    </comment>
    <comment ref="C9" authorId="0">
      <text>
        <r>
          <rPr>
            <b/>
            <sz val="8"/>
            <rFont val="Tahoma"/>
            <family val="0"/>
          </rPr>
          <t>If the elimination period is something other than a full month or multiple months, enter in decimal format.
Example: 6 weeks would be 1.5 months.</t>
        </r>
      </text>
    </comment>
    <comment ref="C13" authorId="0">
      <text>
        <r>
          <rPr>
            <b/>
            <sz val="8"/>
            <rFont val="Tahoma"/>
            <family val="0"/>
          </rPr>
          <t>If the benefit period is something other than a full month or multiple months, enter in decimal format.
Example: 20 weeks would be 4.8 months.</t>
        </r>
      </text>
    </comment>
    <comment ref="C95" authorId="0">
      <text>
        <r>
          <rPr>
            <b/>
            <sz val="8"/>
            <rFont val="Tahoma"/>
            <family val="0"/>
          </rPr>
          <t>There would be a long-term elimination period shortfall only if the client or co-client does not have short-term coverage or the short-term coverage ends prior to the long-term coverage beginning.</t>
        </r>
      </text>
    </comment>
    <comment ref="C32" authorId="0">
      <text>
        <r>
          <rPr>
            <b/>
            <sz val="8"/>
            <rFont val="Tahoma"/>
            <family val="2"/>
          </rPr>
          <t xml:space="preserve">The amounts here are reasonable estimates only, calculated by adding the disabled client's tax-adjusted unearned income to the other client's net total income.  </t>
        </r>
        <r>
          <rPr>
            <b/>
            <sz val="8"/>
            <rFont val="Tahoma"/>
            <family val="0"/>
          </rPr>
          <t xml:space="preserve">
Exact amounts would require new tax liability calculations based on the amount of continuing income.</t>
        </r>
      </text>
    </comment>
    <comment ref="C33" authorId="0">
      <text>
        <r>
          <rPr>
            <b/>
            <sz val="8"/>
            <rFont val="Tahoma"/>
            <family val="0"/>
          </rPr>
          <t>Only include amounts here if the disabled client(s) will contining working, in any capacity, while disabled.</t>
        </r>
      </text>
    </comment>
    <comment ref="I32" authorId="0">
      <text>
        <r>
          <rPr>
            <b/>
            <sz val="8"/>
            <rFont val="Tahoma"/>
            <family val="0"/>
          </rPr>
          <t>This is the after-tax "net" unearned income from above.</t>
        </r>
      </text>
    </comment>
    <comment ref="I70" authorId="0">
      <text>
        <r>
          <rPr>
            <b/>
            <sz val="8"/>
            <rFont val="Tahoma"/>
            <family val="0"/>
          </rPr>
          <t>This is the joint shortfall multiplied by the average elimination period.</t>
        </r>
      </text>
    </comment>
    <comment ref="B29" authorId="0">
      <text>
        <r>
          <rPr>
            <b/>
            <sz val="8"/>
            <rFont val="Tahoma"/>
            <family val="0"/>
          </rPr>
          <t>This point gets a little confusing because the incomes seem to change sides.  This is because the disabled person is living on the other person's income.</t>
        </r>
      </text>
    </comment>
    <comment ref="B81" authorId="0">
      <text>
        <r>
          <rPr>
            <b/>
            <sz val="8"/>
            <rFont val="Tahoma"/>
            <family val="0"/>
          </rPr>
          <t>*Taxes could be slightly overstated because deductions and exemptions are not included in the tax calculations on benefits.  The Elderly and Disabled Tax Credit is also not included in these calculations.</t>
        </r>
      </text>
    </comment>
    <comment ref="E6" authorId="1">
      <text>
        <r>
          <rPr>
            <b/>
            <sz val="8"/>
            <rFont val="Tahoma"/>
            <family val="0"/>
          </rPr>
          <t>In order to qualifiy for disability benefits from Social Security, typically the disablity needs to be "permenent and total" - meaning that it is expected to last for 12 months or longer and keeps the person from maintaining any form of employment.</t>
        </r>
      </text>
    </comment>
  </commentList>
</comments>
</file>

<file path=xl/comments14.xml><?xml version="1.0" encoding="utf-8"?>
<comments xmlns="http://schemas.openxmlformats.org/spreadsheetml/2006/main">
  <authors>
    <author>Derek D. Klock</author>
    <author>Derek Klock</author>
    <author>bwagner</author>
  </authors>
  <commentList>
    <comment ref="G56" authorId="0">
      <text>
        <r>
          <rPr>
            <b/>
            <sz val="8"/>
            <rFont val="Tahoma"/>
            <family val="0"/>
          </rPr>
          <t xml:space="preserve">Use the most recent available PEEBS to determine the projected annual Social Security benefit for the appropriate retirement age.
</t>
        </r>
        <r>
          <rPr>
            <b/>
            <sz val="8"/>
            <color indexed="10"/>
            <rFont val="Tahoma"/>
            <family val="2"/>
          </rPr>
          <t>Remember</t>
        </r>
        <r>
          <rPr>
            <b/>
            <sz val="8"/>
            <rFont val="Tahoma"/>
            <family val="0"/>
          </rPr>
          <t>: the Social Security figure is given in "today's" dollars which should be entered here.  Do not seperately calculate a future value.</t>
        </r>
      </text>
    </comment>
    <comment ref="C72" authorId="0">
      <text>
        <r>
          <rPr>
            <b/>
            <sz val="8"/>
            <rFont val="Tahoma"/>
            <family val="0"/>
          </rPr>
          <t>This amount fills from  the Dedicated Expense Statement.</t>
        </r>
      </text>
    </comment>
    <comment ref="G54" authorId="0">
      <text>
        <r>
          <rPr>
            <b/>
            <sz val="8"/>
            <rFont val="Tahoma"/>
            <family val="0"/>
          </rPr>
          <t>It is generally suggested that retirees plan to replace between 70% and 100% of pre-retirement income.</t>
        </r>
      </text>
    </comment>
    <comment ref="C81" authorId="0">
      <text>
        <r>
          <rPr>
            <b/>
            <sz val="8"/>
            <rFont val="Tahoma"/>
            <family val="0"/>
          </rPr>
          <t xml:space="preserve">This value assumes </t>
        </r>
        <r>
          <rPr>
            <b/>
            <sz val="8"/>
            <color indexed="10"/>
            <rFont val="Tahoma"/>
            <family val="2"/>
          </rPr>
          <t>no</t>
        </r>
        <r>
          <rPr>
            <b/>
            <sz val="8"/>
            <rFont val="Tahoma"/>
            <family val="0"/>
          </rPr>
          <t xml:space="preserve"> early withdrawals from Social Security.</t>
        </r>
      </text>
    </comment>
    <comment ref="A4" authorId="0">
      <text>
        <r>
          <rPr>
            <b/>
            <sz val="8"/>
            <rFont val="Tahoma"/>
            <family val="0"/>
          </rPr>
          <t>The "primary earner" is typically the client whose has the greater income potential, but could be the client who has the steadier income or who will work longer.</t>
        </r>
      </text>
    </comment>
    <comment ref="C89" authorId="0">
      <text>
        <r>
          <rPr>
            <b/>
            <sz val="8"/>
            <rFont val="Tahoma"/>
            <family val="0"/>
          </rPr>
          <t>After accounting for the projected future value of Social Security benefits.</t>
        </r>
      </text>
    </comment>
    <comment ref="A19" authorId="1">
      <text>
        <r>
          <rPr>
            <b/>
            <sz val="8"/>
            <rFont val="Tahoma"/>
            <family val="0"/>
          </rPr>
          <t>EAFE stands for "</t>
        </r>
        <r>
          <rPr>
            <b/>
            <u val="single"/>
            <sz val="8"/>
            <rFont val="Tahoma"/>
            <family val="2"/>
          </rPr>
          <t>E</t>
        </r>
        <r>
          <rPr>
            <b/>
            <sz val="8"/>
            <rFont val="Tahoma"/>
            <family val="0"/>
          </rPr>
          <t xml:space="preserve">urope </t>
        </r>
        <r>
          <rPr>
            <b/>
            <u val="single"/>
            <sz val="8"/>
            <rFont val="Tahoma"/>
            <family val="2"/>
          </rPr>
          <t>Australia</t>
        </r>
        <r>
          <rPr>
            <b/>
            <sz val="8"/>
            <rFont val="Tahoma"/>
            <family val="0"/>
          </rPr>
          <t xml:space="preserve"> and </t>
        </r>
        <r>
          <rPr>
            <b/>
            <u val="single"/>
            <sz val="8"/>
            <rFont val="Tahoma"/>
            <family val="2"/>
          </rPr>
          <t>F</t>
        </r>
        <r>
          <rPr>
            <b/>
            <sz val="8"/>
            <rFont val="Tahoma"/>
            <family val="0"/>
          </rPr>
          <t xml:space="preserve">ar </t>
        </r>
        <r>
          <rPr>
            <b/>
            <u val="single"/>
            <sz val="8"/>
            <rFont val="Tahoma"/>
            <family val="2"/>
          </rPr>
          <t>E</t>
        </r>
        <r>
          <rPr>
            <b/>
            <sz val="8"/>
            <rFont val="Tahoma"/>
            <family val="0"/>
          </rPr>
          <t>ast."</t>
        </r>
      </text>
    </comment>
    <comment ref="A40" authorId="1">
      <text>
        <r>
          <rPr>
            <b/>
            <sz val="8"/>
            <rFont val="Tahoma"/>
            <family val="0"/>
          </rPr>
          <t>EAFE stands for "</t>
        </r>
        <r>
          <rPr>
            <b/>
            <u val="single"/>
            <sz val="8"/>
            <rFont val="Tahoma"/>
            <family val="2"/>
          </rPr>
          <t>E</t>
        </r>
        <r>
          <rPr>
            <b/>
            <sz val="8"/>
            <rFont val="Tahoma"/>
            <family val="0"/>
          </rPr>
          <t xml:space="preserve">urope </t>
        </r>
        <r>
          <rPr>
            <b/>
            <u val="single"/>
            <sz val="8"/>
            <rFont val="Tahoma"/>
            <family val="2"/>
          </rPr>
          <t>A</t>
        </r>
        <r>
          <rPr>
            <b/>
            <sz val="8"/>
            <rFont val="Tahoma"/>
            <family val="0"/>
          </rPr>
          <t xml:space="preserve">sia and </t>
        </r>
        <r>
          <rPr>
            <b/>
            <u val="single"/>
            <sz val="8"/>
            <rFont val="Tahoma"/>
            <family val="2"/>
          </rPr>
          <t>F</t>
        </r>
        <r>
          <rPr>
            <b/>
            <sz val="8"/>
            <rFont val="Tahoma"/>
            <family val="0"/>
          </rPr>
          <t xml:space="preserve">ar </t>
        </r>
        <r>
          <rPr>
            <b/>
            <u val="single"/>
            <sz val="8"/>
            <rFont val="Tahoma"/>
            <family val="2"/>
          </rPr>
          <t>E</t>
        </r>
        <r>
          <rPr>
            <b/>
            <sz val="8"/>
            <rFont val="Tahoma"/>
            <family val="0"/>
          </rPr>
          <t>ast."</t>
        </r>
      </text>
    </comment>
    <comment ref="A20" authorId="1">
      <text>
        <r>
          <rPr>
            <b/>
            <sz val="8"/>
            <rFont val="Tahoma"/>
            <family val="0"/>
          </rPr>
          <t>Hedges refer to investments that typically have a negative correlation to the domestic stock market.  In other words, if the stock market is rising any hedge holdings should be falling and vise versa.</t>
        </r>
      </text>
    </comment>
    <comment ref="A41" authorId="1">
      <text>
        <r>
          <rPr>
            <b/>
            <sz val="8"/>
            <rFont val="Tahoma"/>
            <family val="0"/>
          </rPr>
          <t>Hedges refer to investments that typically have a negative correlation to the domestic stock market.  In other words, if the stock market is rising any hedge holdings should be falling and vise versa.</t>
        </r>
      </text>
    </comment>
    <comment ref="G76" authorId="1">
      <text>
        <r>
          <rPr>
            <b/>
            <sz val="8"/>
            <rFont val="Tahoma"/>
            <family val="0"/>
          </rPr>
          <t>The ending value for the non-qualified account assumes that the tax liability on any income or realized capital gains was paid from a source of income outside of the account, and therefore did not reduce the account value.</t>
        </r>
      </text>
    </comment>
    <comment ref="D64" authorId="1">
      <text>
        <r>
          <rPr>
            <b/>
            <sz val="8"/>
            <rFont val="Tahoma"/>
            <family val="0"/>
          </rPr>
          <t xml:space="preserve">Please enter </t>
        </r>
        <r>
          <rPr>
            <b/>
            <sz val="8"/>
            <color indexed="10"/>
            <rFont val="Tahoma"/>
            <family val="2"/>
          </rPr>
          <t>pre-tax</t>
        </r>
        <r>
          <rPr>
            <b/>
            <sz val="8"/>
            <rFont val="Tahoma"/>
            <family val="0"/>
          </rPr>
          <t xml:space="preserve"> returns.
In keeping with solid mathmatical analysis, </t>
        </r>
        <r>
          <rPr>
            <b/>
            <sz val="8"/>
            <color indexed="10"/>
            <rFont val="Tahoma"/>
            <family val="2"/>
          </rPr>
          <t>annualized</t>
        </r>
        <r>
          <rPr>
            <b/>
            <sz val="8"/>
            <rFont val="Tahoma"/>
            <family val="0"/>
          </rPr>
          <t xml:space="preserve"> portfolio returns should be used for projection purposes.</t>
        </r>
      </text>
    </comment>
    <comment ref="C64" authorId="1">
      <text>
        <r>
          <rPr>
            <b/>
            <sz val="8"/>
            <rFont val="Tahoma"/>
            <family val="0"/>
          </rPr>
          <t xml:space="preserve">For projection purposes, </t>
        </r>
        <r>
          <rPr>
            <b/>
            <sz val="8"/>
            <color indexed="10"/>
            <rFont val="Tahoma"/>
            <family val="2"/>
          </rPr>
          <t>annualized</t>
        </r>
        <r>
          <rPr>
            <b/>
            <sz val="8"/>
            <rFont val="Tahoma"/>
            <family val="0"/>
          </rPr>
          <t xml:space="preserve"> portfolio returns as estimated above are used for all growth equations.</t>
        </r>
        <r>
          <rPr>
            <sz val="8"/>
            <rFont val="Tahoma"/>
            <family val="0"/>
          </rPr>
          <t xml:space="preserve">
</t>
        </r>
      </text>
    </comment>
    <comment ref="D27" authorId="1">
      <text>
        <r>
          <rPr>
            <b/>
            <sz val="8"/>
            <rFont val="Tahoma"/>
            <family val="0"/>
          </rPr>
          <t>For comparison purposes only.  All caluclations are based on "Pre-tax" rates of return.</t>
        </r>
      </text>
    </comment>
    <comment ref="D48" authorId="1">
      <text>
        <r>
          <rPr>
            <b/>
            <sz val="8"/>
            <rFont val="Tahoma"/>
            <family val="0"/>
          </rPr>
          <t>For comparison purposes only.  All caluclations are based on "Pre-tax" rates of return.</t>
        </r>
      </text>
    </comment>
    <comment ref="E80" authorId="1">
      <text>
        <r>
          <rPr>
            <b/>
            <sz val="8"/>
            <rFont val="Tahoma"/>
            <family val="0"/>
          </rPr>
          <t>For this calculator, early retirement is the period from the last day of work until Social Security benefits begin.</t>
        </r>
      </text>
    </comment>
    <comment ref="E88" authorId="1">
      <text>
        <r>
          <rPr>
            <b/>
            <sz val="8"/>
            <rFont val="Tahoma"/>
            <family val="0"/>
          </rPr>
          <t>For this calculator, normal retirement is the period from the beginning of Social Security benefits until the projected date of death.</t>
        </r>
      </text>
    </comment>
    <comment ref="C11" authorId="2">
      <text>
        <r>
          <rPr>
            <sz val="8"/>
            <rFont val="Tahoma"/>
            <family val="0"/>
          </rPr>
          <t xml:space="preserve">Tax-Deferred Rate of Return
</t>
        </r>
      </text>
    </comment>
    <comment ref="C12" authorId="2">
      <text>
        <r>
          <rPr>
            <sz val="8"/>
            <rFont val="Tahoma"/>
            <family val="0"/>
          </rPr>
          <t xml:space="preserve">Tax-Deferred Rate of Return
</t>
        </r>
      </text>
    </comment>
    <comment ref="C13" authorId="2">
      <text>
        <r>
          <rPr>
            <sz val="8"/>
            <rFont val="Tahoma"/>
            <family val="0"/>
          </rPr>
          <t xml:space="preserve">Tax-Deferred Rate of Return
</t>
        </r>
      </text>
    </comment>
    <comment ref="C15" authorId="2">
      <text>
        <r>
          <rPr>
            <sz val="8"/>
            <rFont val="Tahoma"/>
            <family val="0"/>
          </rPr>
          <t xml:space="preserve">Tax-Deferred Rate of Return
</t>
        </r>
      </text>
    </comment>
    <comment ref="C16" authorId="2">
      <text>
        <r>
          <rPr>
            <sz val="8"/>
            <rFont val="Tahoma"/>
            <family val="0"/>
          </rPr>
          <t xml:space="preserve">Tax-Deferred Rate of Return
</t>
        </r>
      </text>
    </comment>
    <comment ref="C17" authorId="2">
      <text>
        <r>
          <rPr>
            <sz val="8"/>
            <rFont val="Tahoma"/>
            <family val="0"/>
          </rPr>
          <t xml:space="preserve">Tax-Deferred Rate of Return
</t>
        </r>
      </text>
    </comment>
    <comment ref="C19" authorId="2">
      <text>
        <r>
          <rPr>
            <sz val="8"/>
            <rFont val="Tahoma"/>
            <family val="0"/>
          </rPr>
          <t xml:space="preserve">Tax-Deferred Rate of Return
</t>
        </r>
      </text>
    </comment>
    <comment ref="C21" authorId="2">
      <text>
        <r>
          <rPr>
            <sz val="8"/>
            <rFont val="Tahoma"/>
            <family val="0"/>
          </rPr>
          <t xml:space="preserve">Tax-Deferred Rate of Return
</t>
        </r>
      </text>
    </comment>
    <comment ref="C22" authorId="2">
      <text>
        <r>
          <rPr>
            <sz val="8"/>
            <rFont val="Tahoma"/>
            <family val="0"/>
          </rPr>
          <t xml:space="preserve">Tax-Deferred Rate of Return
</t>
        </r>
      </text>
    </comment>
    <comment ref="C32" authorId="2">
      <text>
        <r>
          <rPr>
            <sz val="8"/>
            <rFont val="Tahoma"/>
            <family val="0"/>
          </rPr>
          <t xml:space="preserve">Tax-Deferred Rate of Return
</t>
        </r>
      </text>
    </comment>
    <comment ref="C33" authorId="2">
      <text>
        <r>
          <rPr>
            <sz val="8"/>
            <rFont val="Tahoma"/>
            <family val="0"/>
          </rPr>
          <t xml:space="preserve">Tax-Deferred Rate of Return
</t>
        </r>
      </text>
    </comment>
    <comment ref="C34" authorId="2">
      <text>
        <r>
          <rPr>
            <sz val="8"/>
            <rFont val="Tahoma"/>
            <family val="0"/>
          </rPr>
          <t xml:space="preserve">Tax-Deferred Rate of Return
</t>
        </r>
      </text>
    </comment>
    <comment ref="C36" authorId="2">
      <text>
        <r>
          <rPr>
            <sz val="8"/>
            <rFont val="Tahoma"/>
            <family val="0"/>
          </rPr>
          <t xml:space="preserve">Tax-Deferred Rate of Return
</t>
        </r>
      </text>
    </comment>
    <comment ref="C37" authorId="2">
      <text>
        <r>
          <rPr>
            <sz val="8"/>
            <rFont val="Tahoma"/>
            <family val="0"/>
          </rPr>
          <t xml:space="preserve">Tax-Deferred Rate of Return
</t>
        </r>
      </text>
    </comment>
    <comment ref="C38" authorId="2">
      <text>
        <r>
          <rPr>
            <sz val="8"/>
            <rFont val="Tahoma"/>
            <family val="0"/>
          </rPr>
          <t xml:space="preserve">Tax-Deferred Rate of Return
</t>
        </r>
      </text>
    </comment>
    <comment ref="C40" authorId="2">
      <text>
        <r>
          <rPr>
            <sz val="8"/>
            <rFont val="Tahoma"/>
            <family val="0"/>
          </rPr>
          <t xml:space="preserve">Tax-Deferred Rate of Return
</t>
        </r>
      </text>
    </comment>
    <comment ref="C42" authorId="2">
      <text>
        <r>
          <rPr>
            <sz val="8"/>
            <rFont val="Tahoma"/>
            <family val="0"/>
          </rPr>
          <t xml:space="preserve">Tax-Deferred Rate of Return
</t>
        </r>
      </text>
    </comment>
    <comment ref="C43" authorId="2">
      <text>
        <r>
          <rPr>
            <sz val="8"/>
            <rFont val="Tahoma"/>
            <family val="0"/>
          </rPr>
          <t xml:space="preserve">Tax-Deferred Rate of Return
</t>
        </r>
      </text>
    </comment>
    <comment ref="C24" authorId="2">
      <text>
        <r>
          <rPr>
            <sz val="8"/>
            <rFont val="Tahoma"/>
            <family val="0"/>
          </rPr>
          <t xml:space="preserve">Tax-Deferred Rate of Return
</t>
        </r>
      </text>
    </comment>
    <comment ref="C45" authorId="2">
      <text>
        <r>
          <rPr>
            <sz val="8"/>
            <rFont val="Tahoma"/>
            <family val="0"/>
          </rPr>
          <t xml:space="preserve">Tax-Deferred Rate of Return
</t>
        </r>
      </text>
    </comment>
    <comment ref="B11" authorId="2">
      <text>
        <r>
          <rPr>
            <sz val="8"/>
            <rFont val="Tahoma"/>
            <family val="0"/>
          </rPr>
          <t>Allocation Percentage</t>
        </r>
      </text>
    </comment>
    <comment ref="B12" authorId="2">
      <text>
        <r>
          <rPr>
            <sz val="8"/>
            <rFont val="Tahoma"/>
            <family val="0"/>
          </rPr>
          <t xml:space="preserve">Allocation Percentage
</t>
        </r>
      </text>
    </comment>
    <comment ref="B13" authorId="2">
      <text>
        <r>
          <rPr>
            <sz val="8"/>
            <rFont val="Tahoma"/>
            <family val="0"/>
          </rPr>
          <t>Allocation Percentage</t>
        </r>
      </text>
    </comment>
    <comment ref="B15" authorId="2">
      <text>
        <r>
          <rPr>
            <sz val="8"/>
            <rFont val="Tahoma"/>
            <family val="0"/>
          </rPr>
          <t xml:space="preserve">Allocation Percentage
</t>
        </r>
      </text>
    </comment>
    <comment ref="B16" authorId="2">
      <text>
        <r>
          <rPr>
            <sz val="8"/>
            <rFont val="Tahoma"/>
            <family val="0"/>
          </rPr>
          <t xml:space="preserve">Allocation Percentage
</t>
        </r>
      </text>
    </comment>
    <comment ref="B17" authorId="2">
      <text>
        <r>
          <rPr>
            <sz val="8"/>
            <rFont val="Tahoma"/>
            <family val="0"/>
          </rPr>
          <t>Allocation Percentage</t>
        </r>
      </text>
    </comment>
    <comment ref="B19" authorId="2">
      <text>
        <r>
          <rPr>
            <sz val="8"/>
            <rFont val="Tahoma"/>
            <family val="2"/>
          </rPr>
          <t xml:space="preserve">Allocation Percentage
</t>
        </r>
      </text>
    </comment>
    <comment ref="B21" authorId="2">
      <text>
        <r>
          <rPr>
            <sz val="8"/>
            <rFont val="Tahoma"/>
            <family val="0"/>
          </rPr>
          <t>Allocation Percentage</t>
        </r>
      </text>
    </comment>
    <comment ref="B22" authorId="2">
      <text>
        <r>
          <rPr>
            <sz val="8"/>
            <rFont val="Tahoma"/>
            <family val="0"/>
          </rPr>
          <t>Allocation Percentage</t>
        </r>
      </text>
    </comment>
    <comment ref="B32" authorId="2">
      <text>
        <r>
          <rPr>
            <sz val="8"/>
            <rFont val="Tahoma"/>
            <family val="0"/>
          </rPr>
          <t>Allocation Percentage</t>
        </r>
      </text>
    </comment>
    <comment ref="B33" authorId="2">
      <text>
        <r>
          <rPr>
            <sz val="8"/>
            <rFont val="Tahoma"/>
            <family val="0"/>
          </rPr>
          <t>Allocation Percentage</t>
        </r>
      </text>
    </comment>
    <comment ref="B34" authorId="2">
      <text>
        <r>
          <rPr>
            <sz val="8"/>
            <rFont val="Tahoma"/>
            <family val="0"/>
          </rPr>
          <t>Allocation Percentage</t>
        </r>
      </text>
    </comment>
    <comment ref="B36" authorId="2">
      <text>
        <r>
          <rPr>
            <sz val="8"/>
            <rFont val="Tahoma"/>
            <family val="0"/>
          </rPr>
          <t>Allocation Percentage</t>
        </r>
      </text>
    </comment>
    <comment ref="B37" authorId="2">
      <text>
        <r>
          <rPr>
            <sz val="8"/>
            <rFont val="Tahoma"/>
            <family val="0"/>
          </rPr>
          <t>Allocation Percentage</t>
        </r>
      </text>
    </comment>
    <comment ref="B38" authorId="2">
      <text>
        <r>
          <rPr>
            <sz val="8"/>
            <rFont val="Tahoma"/>
            <family val="0"/>
          </rPr>
          <t>Allocation Percentage</t>
        </r>
      </text>
    </comment>
    <comment ref="B40" authorId="2">
      <text>
        <r>
          <rPr>
            <sz val="8"/>
            <rFont val="Tahoma"/>
            <family val="0"/>
          </rPr>
          <t>Allocation Percentage</t>
        </r>
      </text>
    </comment>
    <comment ref="B42" authorId="2">
      <text>
        <r>
          <rPr>
            <sz val="8"/>
            <rFont val="Tahoma"/>
            <family val="0"/>
          </rPr>
          <t>Allocation Percentage</t>
        </r>
      </text>
    </comment>
    <comment ref="B43" authorId="2">
      <text>
        <r>
          <rPr>
            <sz val="8"/>
            <rFont val="Tahoma"/>
            <family val="0"/>
          </rPr>
          <t>Allocation Percentage</t>
        </r>
      </text>
    </comment>
  </commentList>
</comments>
</file>

<file path=xl/comments15.xml><?xml version="1.0" encoding="utf-8"?>
<comments xmlns="http://schemas.openxmlformats.org/spreadsheetml/2006/main">
  <authors>
    <author>Derek D. Klock</author>
  </authors>
  <commentList>
    <comment ref="C59" authorId="0">
      <text>
        <r>
          <rPr>
            <b/>
            <sz val="8"/>
            <rFont val="Tahoma"/>
            <family val="0"/>
          </rPr>
          <t>Second to die liability assumes that the survivor does not remarry.  Thereby there is no deduction for a subsequent marital transfer.</t>
        </r>
      </text>
    </comment>
    <comment ref="C66" authorId="0">
      <text>
        <r>
          <rPr>
            <b/>
            <sz val="8"/>
            <rFont val="Tahoma"/>
            <family val="0"/>
          </rPr>
          <t>Net growth rate projects the rate at which assets grow or reduce after accounting for living expenses taken from the estate value.</t>
        </r>
      </text>
    </comment>
    <comment ref="C89" authorId="0">
      <text>
        <r>
          <rPr>
            <b/>
            <sz val="8"/>
            <rFont val="Tahoma"/>
            <family val="0"/>
          </rPr>
          <t>Aggregate liability is the total amount of estate tax paid after the death of both spouses.</t>
        </r>
      </text>
    </comment>
    <comment ref="C60" authorId="0">
      <text>
        <r>
          <rPr>
            <b/>
            <sz val="8"/>
            <rFont val="Tahoma"/>
            <family val="0"/>
          </rPr>
          <t>Expenses are assumed to be the same as for planning for the first death.
Transfers planned for prior to the first death are assumed to have happened.</t>
        </r>
      </text>
    </comment>
    <comment ref="C37" authorId="0">
      <text>
        <r>
          <rPr>
            <b/>
            <sz val="8"/>
            <rFont val="Tahoma"/>
            <family val="0"/>
          </rPr>
          <t>There is some discongruence between present value and future value with forecasting future gifts; however, the margin of error should be reasonable unless a large precentage of the estate will be given away prior to death.</t>
        </r>
      </text>
    </comment>
    <comment ref="C39" authorId="0">
      <text>
        <r>
          <rPr>
            <b/>
            <sz val="8"/>
            <rFont val="Tahoma"/>
            <family val="0"/>
          </rPr>
          <t>There is some discongruence between present value and future value with forecasting future transfers; however, the margin of error should be reasonable unless a large precentage of the estate will be given away prior to death.</t>
        </r>
      </text>
    </comment>
    <comment ref="C6" authorId="0">
      <text>
        <r>
          <rPr>
            <b/>
            <sz val="8"/>
            <rFont val="Tahoma"/>
            <family val="0"/>
          </rPr>
          <t>Asset values should be reasonably inflated from the present values entered on the balance sheet to reflect any anticipated growth between now and the forecasted year of death.</t>
        </r>
      </text>
    </comment>
    <comment ref="C15" authorId="0">
      <text>
        <r>
          <rPr>
            <b/>
            <sz val="8"/>
            <rFont val="Tahoma"/>
            <family val="0"/>
          </rPr>
          <t>Policies owned or controlled by the decedent at the time of death</t>
        </r>
      </text>
    </comment>
    <comment ref="C17" authorId="0">
      <text>
        <r>
          <rPr>
            <b/>
            <sz val="8"/>
            <rFont val="Tahoma"/>
            <family val="0"/>
          </rPr>
          <t>Policies payable to or for the benefit of decedent's estate, or if the decedent held incidents of ownership at death (or within 3 years of death).</t>
        </r>
      </text>
    </comment>
    <comment ref="C64" authorId="0">
      <text>
        <r>
          <rPr>
            <b/>
            <sz val="8"/>
            <rFont val="Tahoma"/>
            <family val="0"/>
          </rPr>
          <t>For example: Proceeds of a policy where the co-client is the owner and the beneficiary, but where the client is the insured.</t>
        </r>
      </text>
    </comment>
    <comment ref="D4" authorId="0">
      <text>
        <r>
          <rPr>
            <b/>
            <sz val="8"/>
            <rFont val="Tahoma"/>
            <family val="0"/>
          </rPr>
          <t>The scenario in column D calculates the estate tax liability assuming the client dies first and the co-client, if applicable, dies second.</t>
        </r>
      </text>
    </comment>
    <comment ref="F4" authorId="0">
      <text>
        <r>
          <rPr>
            <b/>
            <sz val="8"/>
            <rFont val="Tahoma"/>
            <family val="0"/>
          </rPr>
          <t>The scenario in column F calculates the estate tax liability assuming the co-client dies first and the client dies second.</t>
        </r>
      </text>
    </comment>
  </commentList>
</comments>
</file>

<file path=xl/comments2.xml><?xml version="1.0" encoding="utf-8"?>
<comments xmlns="http://schemas.openxmlformats.org/spreadsheetml/2006/main">
  <authors>
    <author>Derek D. Klock</author>
    <author>Derek Klock</author>
  </authors>
  <commentList>
    <comment ref="G5" authorId="0">
      <text>
        <r>
          <rPr>
            <b/>
            <sz val="8"/>
            <rFont val="Tahoma"/>
            <family val="2"/>
          </rPr>
          <t xml:space="preserve">DO NOT TYPE IN THIS CELL! </t>
        </r>
        <r>
          <rPr>
            <sz val="8"/>
            <rFont val="Tahoma"/>
            <family val="0"/>
          </rPr>
          <t xml:space="preserve">
This cell automatically populates from the client information worksheet</t>
        </r>
      </text>
    </comment>
    <comment ref="F5" authorId="0">
      <text>
        <r>
          <rPr>
            <b/>
            <sz val="8"/>
            <rFont val="Tahoma"/>
            <family val="0"/>
          </rPr>
          <t xml:space="preserve">DO NOT TYPE IN THIS CELL! 
</t>
        </r>
        <r>
          <rPr>
            <sz val="8"/>
            <rFont val="Tahoma"/>
            <family val="2"/>
          </rPr>
          <t>This cell automatically populates from the client information worksheet</t>
        </r>
      </text>
    </comment>
    <comment ref="D14" authorId="1">
      <text>
        <r>
          <rPr>
            <b/>
            <sz val="8"/>
            <rFont val="Tahoma"/>
            <family val="0"/>
          </rPr>
          <t xml:space="preserve">If a business loss occurs, then enter the loss as a negative number.
</t>
        </r>
        <r>
          <rPr>
            <b/>
            <sz val="8"/>
            <color indexed="10"/>
            <rFont val="Tahoma"/>
            <family val="2"/>
          </rPr>
          <t>Business income also effects Social Security tax liability; however, these worksheets do not make that adjustment.</t>
        </r>
      </text>
    </comment>
    <comment ref="D15" authorId="1">
      <text>
        <r>
          <rPr>
            <b/>
            <sz val="8"/>
            <rFont val="Tahoma"/>
            <family val="0"/>
          </rPr>
          <t xml:space="preserve">If a capital loss occurs in the current tax year enter the loss as a negative number.  If there are carry-over capital losses from previous years, then aggregate the gains and losses and enter the result.
</t>
        </r>
        <r>
          <rPr>
            <b/>
            <sz val="8"/>
            <color indexed="10"/>
            <rFont val="Tahoma"/>
            <family val="2"/>
          </rPr>
          <t>Current tax law makes special provisions for long-term capital gains income, in that a different tax rate applies; however, these worksheets do not allow for that adjustment.</t>
        </r>
      </text>
    </comment>
    <comment ref="D27" authorId="1">
      <text>
        <r>
          <rPr>
            <b/>
            <sz val="8"/>
            <rFont val="Tahoma"/>
            <family val="0"/>
          </rPr>
          <t xml:space="preserve">Roth IRA distributions are considered to be tax-free if </t>
        </r>
        <r>
          <rPr>
            <b/>
            <sz val="8"/>
            <color indexed="10"/>
            <rFont val="Tahoma"/>
            <family val="2"/>
          </rPr>
          <t>both</t>
        </r>
        <r>
          <rPr>
            <b/>
            <sz val="8"/>
            <rFont val="Tahoma"/>
            <family val="0"/>
          </rPr>
          <t xml:space="preserve"> of the following conditions are met:
1) the distribution is made five years after the first tax year that any Roth IRA contribution was made
AND
2) you are 59 1/2 years or older </t>
        </r>
        <r>
          <rPr>
            <b/>
            <sz val="8"/>
            <color indexed="10"/>
            <rFont val="Tahoma"/>
            <family val="2"/>
          </rPr>
          <t>or</t>
        </r>
        <r>
          <rPr>
            <b/>
            <sz val="8"/>
            <rFont val="Tahoma"/>
            <family val="0"/>
          </rPr>
          <t>, you are disabled</t>
        </r>
        <r>
          <rPr>
            <b/>
            <sz val="8"/>
            <color indexed="10"/>
            <rFont val="Tahoma"/>
            <family val="2"/>
          </rPr>
          <t xml:space="preserve"> or</t>
        </r>
        <r>
          <rPr>
            <b/>
            <sz val="8"/>
            <rFont val="Tahoma"/>
            <family val="0"/>
          </rPr>
          <t xml:space="preserve">, you are a first time home buyer ($10,000 max) </t>
        </r>
        <r>
          <rPr>
            <b/>
            <sz val="8"/>
            <color indexed="10"/>
            <rFont val="Tahoma"/>
            <family val="2"/>
          </rPr>
          <t>or</t>
        </r>
        <r>
          <rPr>
            <b/>
            <sz val="8"/>
            <rFont val="Tahoma"/>
            <family val="0"/>
          </rPr>
          <t>, you are the beneficiary receiving distributions following the death of the owner.</t>
        </r>
      </text>
    </comment>
    <comment ref="A1" authorId="1">
      <text>
        <r>
          <rPr>
            <b/>
            <sz val="8"/>
            <rFont val="Tahoma"/>
            <family val="0"/>
          </rPr>
          <t>All dollar amounts entered on this sheet should be on an annual basis.</t>
        </r>
      </text>
    </comment>
    <comment ref="D11" authorId="1">
      <text>
        <r>
          <rPr>
            <b/>
            <sz val="8"/>
            <rFont val="Tahoma"/>
            <family val="0"/>
          </rPr>
          <t xml:space="preserve">This includes </t>
        </r>
        <r>
          <rPr>
            <b/>
            <sz val="8"/>
            <color indexed="10"/>
            <rFont val="Tahoma"/>
            <family val="2"/>
          </rPr>
          <t>ALL</t>
        </r>
        <r>
          <rPr>
            <b/>
            <sz val="8"/>
            <rFont val="Tahoma"/>
            <family val="0"/>
          </rPr>
          <t xml:space="preserve"> received (via check, direct deposit, etc.) or reinvested dividends.
</t>
        </r>
        <r>
          <rPr>
            <b/>
            <sz val="8"/>
            <color indexed="10"/>
            <rFont val="Tahoma"/>
            <family val="2"/>
          </rPr>
          <t>Special tax rates may apply; however, these spreadsheets do not provide for special rates.</t>
        </r>
      </text>
    </comment>
  </commentList>
</comments>
</file>

<file path=xl/comments3.xml><?xml version="1.0" encoding="utf-8"?>
<comments xmlns="http://schemas.openxmlformats.org/spreadsheetml/2006/main">
  <authors>
    <author>Derek D. Klock</author>
  </authors>
  <commentList>
    <comment ref="F43" authorId="0">
      <text>
        <r>
          <rPr>
            <b/>
            <sz val="8"/>
            <rFont val="Tahoma"/>
            <family val="0"/>
          </rPr>
          <t>Enter the amount from the "Goal Cost Estimator."  For unspecified savings use line  below.</t>
        </r>
      </text>
    </comment>
    <comment ref="F44" authorId="0">
      <text>
        <r>
          <rPr>
            <b/>
            <sz val="8"/>
            <rFont val="Tahoma"/>
            <family val="0"/>
          </rPr>
          <t>Enter the amount from of the "Goal Cost Estimator."  For unspecified savings use line below.</t>
        </r>
      </text>
    </comment>
    <comment ref="F45" authorId="0">
      <text>
        <r>
          <rPr>
            <b/>
            <sz val="8"/>
            <rFont val="Tahoma"/>
            <family val="0"/>
          </rPr>
          <t>Enter the amount from the "Goal Cost Estimator."  For unspecified savings use line below.</t>
        </r>
      </text>
    </comment>
    <comment ref="F47" authorId="0">
      <text>
        <r>
          <rPr>
            <b/>
            <sz val="8"/>
            <rFont val="Tahoma"/>
            <family val="0"/>
          </rPr>
          <t>Enter the sum of the savings amounts from on the "Education Cost Estimator."  For unspecified savings use line below.</t>
        </r>
      </text>
    </comment>
    <comment ref="G43" authorId="0">
      <text>
        <r>
          <rPr>
            <b/>
            <sz val="8"/>
            <rFont val="Tahoma"/>
            <family val="0"/>
          </rPr>
          <t>Enter the amount from the "Goal Cost Estimator."  For unspecified savings use line below.</t>
        </r>
      </text>
    </comment>
    <comment ref="G44" authorId="0">
      <text>
        <r>
          <rPr>
            <b/>
            <sz val="8"/>
            <rFont val="Tahoma"/>
            <family val="0"/>
          </rPr>
          <t>Enter the amount from the "Goal Cost Estimator."  For unspecified savings use line below.</t>
        </r>
      </text>
    </comment>
    <comment ref="G45" authorId="0">
      <text>
        <r>
          <rPr>
            <b/>
            <sz val="8"/>
            <rFont val="Tahoma"/>
            <family val="0"/>
          </rPr>
          <t>Enter the amount from the "Goal Cost Estimator."  For unspecified savings use line below.</t>
        </r>
      </text>
    </comment>
    <comment ref="G47" authorId="0">
      <text>
        <r>
          <rPr>
            <b/>
            <sz val="8"/>
            <rFont val="Tahoma"/>
            <family val="0"/>
          </rPr>
          <t>Enter the sum of the savings amounts from the "Education Cost Estimator."  For unspecified savings use line below.</t>
        </r>
      </text>
    </comment>
    <comment ref="F50" authorId="0">
      <text>
        <r>
          <rPr>
            <b/>
            <sz val="8"/>
            <rFont val="Tahoma"/>
            <family val="0"/>
          </rPr>
          <t>Enter an amount for the reinvestment of capital gains and dividends from non-qualified accounts only.  This is because capital gains and dividends from qualified accounts do not have an impact on cash flow.</t>
        </r>
      </text>
    </comment>
    <comment ref="G50" authorId="0">
      <text>
        <r>
          <rPr>
            <b/>
            <sz val="8"/>
            <rFont val="Tahoma"/>
            <family val="0"/>
          </rPr>
          <t>Enter an amount for the reinvestment of capital gains and dividends from non-qualified accounts only.  This is because capital gains and dividends from qualified accounts do not have an impact on cash flow.</t>
        </r>
      </text>
    </comment>
    <comment ref="C41" authorId="0">
      <text>
        <r>
          <rPr>
            <b/>
            <sz val="8"/>
            <rFont val="Tahoma"/>
            <family val="0"/>
          </rPr>
          <t>Be careful not to double count any savings expenses.
Savings amounts should be annualized, whether invested on a periodic or random basis.</t>
        </r>
      </text>
    </comment>
  </commentList>
</comments>
</file>

<file path=xl/comments4.xml><?xml version="1.0" encoding="utf-8"?>
<comments xmlns="http://schemas.openxmlformats.org/spreadsheetml/2006/main">
  <authors>
    <author>Derek D. Klock</author>
  </authors>
  <commentList>
    <comment ref="C2" authorId="0">
      <text>
        <r>
          <rPr>
            <b/>
            <sz val="8"/>
            <rFont val="Tahoma"/>
            <family val="0"/>
          </rPr>
          <t xml:space="preserve">Please </t>
        </r>
        <r>
          <rPr>
            <b/>
            <sz val="8"/>
            <color indexed="10"/>
            <rFont val="Tahoma"/>
            <family val="2"/>
          </rPr>
          <t>do not</t>
        </r>
        <r>
          <rPr>
            <b/>
            <sz val="8"/>
            <rFont val="Tahoma"/>
            <family val="0"/>
          </rPr>
          <t xml:space="preserve"> use this sheet for education or retirement goals .  Use the separate Eduation Cost or Retirement Estimators.</t>
        </r>
      </text>
    </comment>
    <comment ref="C17" authorId="0">
      <text>
        <r>
          <rPr>
            <b/>
            <sz val="8"/>
            <rFont val="Tahoma"/>
            <family val="0"/>
          </rPr>
          <t xml:space="preserve">Please </t>
        </r>
        <r>
          <rPr>
            <b/>
            <sz val="8"/>
            <color indexed="10"/>
            <rFont val="Tahoma"/>
            <family val="2"/>
          </rPr>
          <t>do not</t>
        </r>
        <r>
          <rPr>
            <b/>
            <sz val="8"/>
            <rFont val="Tahoma"/>
            <family val="0"/>
          </rPr>
          <t xml:space="preserve"> use this sheet for education or retirement goals .  Use the separate Eduation Cost or Retirement Estimators.</t>
        </r>
      </text>
    </comment>
    <comment ref="C32" authorId="0">
      <text>
        <r>
          <rPr>
            <b/>
            <sz val="8"/>
            <rFont val="Tahoma"/>
            <family val="0"/>
          </rPr>
          <t xml:space="preserve">Please </t>
        </r>
        <r>
          <rPr>
            <b/>
            <sz val="8"/>
            <color indexed="10"/>
            <rFont val="Tahoma"/>
            <family val="2"/>
          </rPr>
          <t>do not</t>
        </r>
        <r>
          <rPr>
            <b/>
            <sz val="8"/>
            <rFont val="Tahoma"/>
            <family val="0"/>
          </rPr>
          <t xml:space="preserve"> use this sheet for education or retirement goals .  Use the separate Eduation Cost or Retirement Estimators.</t>
        </r>
      </text>
    </comment>
    <comment ref="C47" authorId="0">
      <text>
        <r>
          <rPr>
            <b/>
            <sz val="8"/>
            <rFont val="Tahoma"/>
            <family val="0"/>
          </rPr>
          <t>Please do not use this sheet for education or retirement goals .  Use the separate Eduation Cost or Retirement Estimators.</t>
        </r>
      </text>
    </comment>
    <comment ref="C62" authorId="0">
      <text>
        <r>
          <rPr>
            <b/>
            <sz val="8"/>
            <rFont val="Tahoma"/>
            <family val="0"/>
          </rPr>
          <t xml:space="preserve">Please </t>
        </r>
        <r>
          <rPr>
            <b/>
            <sz val="8"/>
            <color indexed="10"/>
            <rFont val="Tahoma"/>
            <family val="2"/>
          </rPr>
          <t xml:space="preserve">do not </t>
        </r>
        <r>
          <rPr>
            <b/>
            <sz val="8"/>
            <rFont val="Tahoma"/>
            <family val="0"/>
          </rPr>
          <t>use this sheet for education or retirement goals .  Use the separate Eduation Cost or Retirement Estimators.</t>
        </r>
      </text>
    </comment>
    <comment ref="C77" authorId="0">
      <text>
        <r>
          <rPr>
            <b/>
            <sz val="8"/>
            <rFont val="Tahoma"/>
            <family val="0"/>
          </rPr>
          <t xml:space="preserve">Please </t>
        </r>
        <r>
          <rPr>
            <b/>
            <sz val="8"/>
            <color indexed="10"/>
            <rFont val="Tahoma"/>
            <family val="2"/>
          </rPr>
          <t>do not</t>
        </r>
        <r>
          <rPr>
            <b/>
            <sz val="8"/>
            <rFont val="Tahoma"/>
            <family val="0"/>
          </rPr>
          <t xml:space="preserve"> use this sheet for education or retirement goals .  Use the separate Eduation Cost or Retirement Estimators.</t>
        </r>
      </text>
    </comment>
    <comment ref="B12" authorId="0">
      <text>
        <r>
          <rPr>
            <b/>
            <sz val="8"/>
            <rFont val="Tahoma"/>
            <family val="0"/>
          </rPr>
          <t>If saving does not occur on a monthly basis, calculate the annual savings amount and divide the amount by 12.</t>
        </r>
      </text>
    </comment>
    <comment ref="B27" authorId="0">
      <text>
        <r>
          <rPr>
            <b/>
            <sz val="8"/>
            <rFont val="Tahoma"/>
            <family val="0"/>
          </rPr>
          <t>If saving does not occur on a monthly basis, calculate the annual savings amount and divide the amount by 12.</t>
        </r>
      </text>
    </comment>
    <comment ref="B42" authorId="0">
      <text>
        <r>
          <rPr>
            <b/>
            <sz val="8"/>
            <rFont val="Tahoma"/>
            <family val="0"/>
          </rPr>
          <t>If saving does not occur on a monthly basis, calculate the annual savings amount and divide the amount by 12.</t>
        </r>
      </text>
    </comment>
    <comment ref="B57" authorId="0">
      <text>
        <r>
          <rPr>
            <b/>
            <sz val="8"/>
            <rFont val="Tahoma"/>
            <family val="0"/>
          </rPr>
          <t>If saving does not occur on a monthly basis, calculate the annual savings amount and divide the amount by 12.</t>
        </r>
      </text>
    </comment>
    <comment ref="B72" authorId="0">
      <text>
        <r>
          <rPr>
            <b/>
            <sz val="8"/>
            <rFont val="Tahoma"/>
            <family val="0"/>
          </rPr>
          <t>If saving does not occur on a monthly basis, calculate the annual savings amount and divide the amount by 12.</t>
        </r>
      </text>
    </comment>
    <comment ref="B87" authorId="0">
      <text>
        <r>
          <rPr>
            <b/>
            <sz val="8"/>
            <rFont val="Tahoma"/>
            <family val="0"/>
          </rPr>
          <t>If saving does not occur on a monthly basis, calculate the annual savings amount and divide the amount by 12.</t>
        </r>
      </text>
    </comment>
  </commentList>
</comments>
</file>

<file path=xl/comments6.xml><?xml version="1.0" encoding="utf-8"?>
<comments xmlns="http://schemas.openxmlformats.org/spreadsheetml/2006/main">
  <authors>
    <author>Derek D. Klock</author>
  </authors>
  <commentList>
    <comment ref="D40" authorId="0">
      <text>
        <r>
          <rPr>
            <b/>
            <sz val="8"/>
            <rFont val="Tahoma"/>
            <family val="0"/>
          </rPr>
          <t xml:space="preserve">Assets would include: Coverdell  Education savings accounts (CESA), 529 plans, flexible spending accounts (FSA), or other assets not included in the above catagories.
</t>
        </r>
        <r>
          <rPr>
            <b/>
            <sz val="8"/>
            <color indexed="10"/>
            <rFont val="Tahoma"/>
            <family val="2"/>
          </rPr>
          <t>Remember:</t>
        </r>
        <r>
          <rPr>
            <b/>
            <sz val="8"/>
            <rFont val="Tahoma"/>
            <family val="0"/>
          </rPr>
          <t xml:space="preserve"> If education assets for children are included, the values should be excluded when calculating the balance sheet on the estate plan.</t>
        </r>
      </text>
    </comment>
    <comment ref="D21" authorId="0">
      <text>
        <r>
          <rPr>
            <b/>
            <sz val="8"/>
            <rFont val="Tahoma"/>
            <family val="0"/>
          </rPr>
          <t>Assets should include any account specifically established for retirement, such as 401(k), IRAs, funded pensions, SEPs, or qualified annuities.</t>
        </r>
      </text>
    </comment>
    <comment ref="D12" authorId="0">
      <text>
        <r>
          <rPr>
            <b/>
            <sz val="8"/>
            <rFont val="Tahoma"/>
            <family val="0"/>
          </rPr>
          <t xml:space="preserve">Assets should include any non- qualified account or account that was </t>
        </r>
        <r>
          <rPr>
            <b/>
            <sz val="8"/>
            <color indexed="10"/>
            <rFont val="Tahoma"/>
            <family val="2"/>
          </rPr>
          <t>not</t>
        </r>
        <r>
          <rPr>
            <b/>
            <sz val="8"/>
            <rFont val="Tahoma"/>
            <family val="0"/>
          </rPr>
          <t xml:space="preserve"> established for a specified purpose such as retirement or education.</t>
        </r>
      </text>
    </comment>
    <comment ref="D5" authorId="0">
      <text>
        <r>
          <rPr>
            <b/>
            <sz val="8"/>
            <rFont val="Tahoma"/>
            <family val="0"/>
          </rPr>
          <t>Assets should include any account used for day-to-day spending, any account that does not have a time limit or other liquidity cost, or that was not established for a specified purpose such as retirement or education.</t>
        </r>
      </text>
    </comment>
    <comment ref="D81" authorId="0">
      <text>
        <r>
          <rPr>
            <b/>
            <sz val="8"/>
            <rFont val="Tahoma"/>
            <family val="0"/>
          </rPr>
          <t>Current liabilities are liabilities that either were originally amortized for less than 12 months or will be paid-off during the next 12 months.</t>
        </r>
      </text>
    </comment>
    <comment ref="D91" authorId="0">
      <text>
        <r>
          <rPr>
            <b/>
            <sz val="8"/>
            <rFont val="Tahoma"/>
            <family val="0"/>
          </rPr>
          <t>Long-term liabilities are liabilities that either were originally amortized for more than 12 months or will not be paid-off during the next 12 months.</t>
        </r>
      </text>
    </comment>
  </commentList>
</comments>
</file>

<file path=xl/comments7.xml><?xml version="1.0" encoding="utf-8"?>
<comments xmlns="http://schemas.openxmlformats.org/spreadsheetml/2006/main">
  <authors>
    <author>Derek D. Klock</author>
    <author>Derek Klock</author>
    <author>bwagner</author>
  </authors>
  <commentList>
    <comment ref="E42" authorId="0">
      <text>
        <r>
          <rPr>
            <b/>
            <sz val="8"/>
            <rFont val="Tahoma"/>
            <family val="0"/>
          </rPr>
          <t xml:space="preserve">In most states there will only be </t>
        </r>
        <r>
          <rPr>
            <b/>
            <sz val="8"/>
            <color indexed="10"/>
            <rFont val="Tahoma"/>
            <family val="2"/>
          </rPr>
          <t>ONE</t>
        </r>
        <r>
          <rPr>
            <b/>
            <sz val="8"/>
            <rFont val="Tahoma"/>
            <family val="0"/>
          </rPr>
          <t xml:space="preserve"> deduction; however, in some states there is no deduction (In which case enter "0").</t>
        </r>
      </text>
    </comment>
    <comment ref="I42" authorId="0">
      <text>
        <r>
          <rPr>
            <b/>
            <sz val="8"/>
            <rFont val="Tahoma"/>
            <family val="0"/>
          </rPr>
          <t xml:space="preserve">Enter the larger of either the standard or itemized </t>
        </r>
        <r>
          <rPr>
            <b/>
            <sz val="8"/>
            <color indexed="10"/>
            <rFont val="Tahoma"/>
            <family val="2"/>
          </rPr>
          <t>state</t>
        </r>
        <r>
          <rPr>
            <b/>
            <sz val="8"/>
            <rFont val="Tahoma"/>
            <family val="0"/>
          </rPr>
          <t xml:space="preserve"> deduction amount.</t>
        </r>
      </text>
    </comment>
    <comment ref="E8" authorId="1">
      <text>
        <r>
          <rPr>
            <b/>
            <sz val="8"/>
            <rFont val="Tahoma"/>
            <family val="0"/>
          </rPr>
          <t xml:space="preserve">Select the appropriate tax filing status.
</t>
        </r>
        <r>
          <rPr>
            <b/>
            <sz val="8"/>
            <color indexed="10"/>
            <rFont val="Tahoma"/>
            <family val="2"/>
          </rPr>
          <t>1</t>
        </r>
        <r>
          <rPr>
            <b/>
            <sz val="8"/>
            <rFont val="Tahoma"/>
            <family val="0"/>
          </rPr>
          <t xml:space="preserve"> = Single filer
</t>
        </r>
        <r>
          <rPr>
            <b/>
            <sz val="8"/>
            <color indexed="10"/>
            <rFont val="Tahoma"/>
            <family val="2"/>
          </rPr>
          <t>2</t>
        </r>
        <r>
          <rPr>
            <b/>
            <sz val="8"/>
            <rFont val="Tahoma"/>
            <family val="0"/>
          </rPr>
          <t xml:space="preserve"> = Married filing jointly
</t>
        </r>
        <r>
          <rPr>
            <b/>
            <sz val="8"/>
            <color indexed="10"/>
            <rFont val="Tahoma"/>
            <family val="2"/>
          </rPr>
          <t>3</t>
        </r>
        <r>
          <rPr>
            <b/>
            <sz val="8"/>
            <rFont val="Tahoma"/>
            <family val="0"/>
          </rPr>
          <t xml:space="preserve"> = Married filing seperately
</t>
        </r>
        <r>
          <rPr>
            <b/>
            <sz val="8"/>
            <color indexed="10"/>
            <rFont val="Tahoma"/>
            <family val="2"/>
          </rPr>
          <t>4</t>
        </r>
        <r>
          <rPr>
            <b/>
            <sz val="8"/>
            <rFont val="Tahoma"/>
            <family val="0"/>
          </rPr>
          <t xml:space="preserve"> = Head of household</t>
        </r>
      </text>
    </comment>
    <comment ref="B10" authorId="1">
      <text>
        <r>
          <rPr>
            <b/>
            <sz val="8"/>
            <rFont val="Tahoma"/>
            <family val="0"/>
          </rPr>
          <t>Typical adjustments to gross income include:
Educator expenses
Traditional IRA deductions
Student loan interest
Tuition and Fees
Health savings accounts
Moving expenses
Various self-employment expenses 
Alimony</t>
        </r>
      </text>
    </comment>
    <comment ref="E5" authorId="1">
      <text>
        <r>
          <rPr>
            <b/>
            <sz val="8"/>
            <rFont val="Tahoma"/>
            <family val="0"/>
          </rPr>
          <t>For income tax purposes the co-client infromation should only be included if the two clients are legally married.</t>
        </r>
      </text>
    </comment>
    <comment ref="E30" authorId="1">
      <text>
        <r>
          <rPr>
            <b/>
            <sz val="8"/>
            <rFont val="Tahoma"/>
            <family val="0"/>
          </rPr>
          <t>For income tax purposes the co-client infromation should only be included if the two clients are legally married.</t>
        </r>
      </text>
    </comment>
    <comment ref="E39" authorId="1">
      <text>
        <r>
          <rPr>
            <b/>
            <sz val="8"/>
            <rFont val="Tahoma"/>
            <family val="0"/>
          </rPr>
          <t>For income tax purposes the co-client infromation should only be included if the two clients are legally married.</t>
        </r>
      </text>
    </comment>
    <comment ref="I43" authorId="1">
      <text>
        <r>
          <rPr>
            <b/>
            <sz val="8"/>
            <rFont val="Tahoma"/>
            <family val="0"/>
          </rPr>
          <t>Enter the actual exemption amount not the total exemption amount.</t>
        </r>
      </text>
    </comment>
    <comment ref="G37" authorId="2">
      <text>
        <r>
          <rPr>
            <sz val="8"/>
            <rFont val="Tahoma"/>
            <family val="0"/>
          </rPr>
          <t xml:space="preserve">Marginal tax bracket will likely overstate tax. Can use average tax rate if available.
</t>
        </r>
      </text>
    </comment>
    <comment ref="E15" authorId="2">
      <text>
        <r>
          <rPr>
            <sz val="8"/>
            <rFont val="Tahoma"/>
            <family val="0"/>
          </rPr>
          <t xml:space="preserve">Enter allowable itemized deductions after any phaseouts.
</t>
        </r>
      </text>
    </comment>
  </commentList>
</comments>
</file>

<file path=xl/sharedStrings.xml><?xml version="1.0" encoding="utf-8"?>
<sst xmlns="http://schemas.openxmlformats.org/spreadsheetml/2006/main" count="1405" uniqueCount="852">
  <si>
    <t>INSURANCE PREMIUMS</t>
  </si>
  <si>
    <t>Auto</t>
  </si>
  <si>
    <t>Life</t>
  </si>
  <si>
    <t>Disability</t>
  </si>
  <si>
    <t>SAVINGS / INVESTMENTS</t>
  </si>
  <si>
    <t>Long-Term Care</t>
  </si>
  <si>
    <t>Credit Card Payment(s)</t>
  </si>
  <si>
    <t>Student Loan Payment(s)</t>
  </si>
  <si>
    <t>Other Payment(s)</t>
  </si>
  <si>
    <t>Unsecured Credit Payment(s)</t>
  </si>
  <si>
    <t>Other Insurance</t>
  </si>
  <si>
    <t>Health</t>
  </si>
  <si>
    <t>State Income Tax Estimate</t>
  </si>
  <si>
    <t>Real Estate Tax (if not included with mortgage)</t>
  </si>
  <si>
    <t>Personal Property Tax</t>
  </si>
  <si>
    <t>Contributions (religious, charitable, etc.)</t>
  </si>
  <si>
    <t>Food</t>
  </si>
  <si>
    <t>Deductibles and Co-pays</t>
  </si>
  <si>
    <t>Prescriptions</t>
  </si>
  <si>
    <t>Unreimbursed Expenses</t>
  </si>
  <si>
    <t>Child Care / Elder Care</t>
  </si>
  <si>
    <t>Clothing and Accessories</t>
  </si>
  <si>
    <t>Laundry/Drycleaning</t>
  </si>
  <si>
    <t>Travel</t>
  </si>
  <si>
    <t>Household Furnishings &amp; Equipment</t>
  </si>
  <si>
    <t>Business</t>
  </si>
  <si>
    <t>IRA Maintenance Fees</t>
  </si>
  <si>
    <t>Commissions</t>
  </si>
  <si>
    <t>Gifts</t>
  </si>
  <si>
    <t>Allowances</t>
  </si>
  <si>
    <t>Miscellaneous</t>
  </si>
  <si>
    <t>Social Security / FICA Estimate</t>
  </si>
  <si>
    <t>Federal Income Tax Estimate</t>
  </si>
  <si>
    <t>Total Income</t>
  </si>
  <si>
    <t>Salary Reduction for Employer-Provided Benefits</t>
  </si>
  <si>
    <t>(sub-total)</t>
  </si>
  <si>
    <t>Home Equity Payment(s)</t>
  </si>
  <si>
    <t>Annual or Monthly Fees</t>
  </si>
  <si>
    <t>Away From Home</t>
  </si>
  <si>
    <t>Tuition</t>
  </si>
  <si>
    <t>UNCOMMITTED EXPENSES</t>
  </si>
  <si>
    <t>Lessons (music, sports, etc.)</t>
  </si>
  <si>
    <t>Subscriptions (newspapers, magazines, etc.)</t>
  </si>
  <si>
    <t>Tax-Sheltered Retirement Contribution</t>
  </si>
  <si>
    <t>Other Pretax Benefit Expenses</t>
  </si>
  <si>
    <t>Total Nontaxable Income</t>
  </si>
  <si>
    <t>DISPOSABLE INCOME (Available to spend, save, or invest)</t>
  </si>
  <si>
    <t>Homeowner's/Renter's (if not included in mortgage)</t>
  </si>
  <si>
    <t>Media Networks (internet or cable/satellite TV)</t>
  </si>
  <si>
    <t>Health (medical, dental and eye care)</t>
  </si>
  <si>
    <t>Name Goal #1:</t>
  </si>
  <si>
    <t>Current cost of goal</t>
  </si>
  <si>
    <t>Estimated inflation rate</t>
  </si>
  <si>
    <t xml:space="preserve">Years until goal achievement = </t>
  </si>
  <si>
    <t>Estimated future cost of goal</t>
  </si>
  <si>
    <t>Value of current savings</t>
  </si>
  <si>
    <t>Anticipated pre tax rate of return =</t>
  </si>
  <si>
    <t xml:space="preserve">Estimated tax-adjusted rate of return = </t>
  </si>
  <si>
    <t>Monthly savings requirement</t>
  </si>
  <si>
    <t xml:space="preserve">Future value of suggested savings </t>
  </si>
  <si>
    <t xml:space="preserve">Future value of actual savings </t>
  </si>
  <si>
    <t>Name Goal #2:</t>
  </si>
  <si>
    <t>Name Goal #3:</t>
  </si>
  <si>
    <t>Name Goal #4:</t>
  </si>
  <si>
    <t>Name Goal #5:</t>
  </si>
  <si>
    <t>Name Goal #6:</t>
  </si>
  <si>
    <t>Short-term =</t>
  </si>
  <si>
    <t>Intermediate-term =</t>
  </si>
  <si>
    <t>Long-term =</t>
  </si>
  <si>
    <t>Bonuses and Commissions</t>
  </si>
  <si>
    <t>Other</t>
  </si>
  <si>
    <t>Total</t>
  </si>
  <si>
    <t>Unearned Income</t>
  </si>
  <si>
    <t>Alimony</t>
  </si>
  <si>
    <t>Child Support</t>
  </si>
  <si>
    <t>Filing Status</t>
  </si>
  <si>
    <t>Single</t>
  </si>
  <si>
    <t>Married Filing Jointly</t>
  </si>
  <si>
    <t>Deductions</t>
  </si>
  <si>
    <t>Married Filing Separately</t>
  </si>
  <si>
    <t>Standard</t>
  </si>
  <si>
    <t>Head of Household</t>
  </si>
  <si>
    <t>or</t>
  </si>
  <si>
    <t>Itemized</t>
  </si>
  <si>
    <t>Number of Exemptions</t>
  </si>
  <si>
    <t>Marginal Tax Rate</t>
  </si>
  <si>
    <t>Exemptions</t>
  </si>
  <si>
    <t>Income</t>
  </si>
  <si>
    <t>Base Tax</t>
  </si>
  <si>
    <t>Percent</t>
  </si>
  <si>
    <t>Per Person</t>
  </si>
  <si>
    <t>Std. Deduct</t>
  </si>
  <si>
    <t>Joint</t>
  </si>
  <si>
    <t>Separate</t>
  </si>
  <si>
    <t>Head</t>
  </si>
  <si>
    <t>Add. Deduct for Age 65+</t>
  </si>
  <si>
    <t>Social Security &amp; Medicare</t>
  </si>
  <si>
    <t>Inc. Limit</t>
  </si>
  <si>
    <t>Soc Sec</t>
  </si>
  <si>
    <t>Medicare</t>
  </si>
  <si>
    <t>N/A</t>
  </si>
  <si>
    <t>Exemption Reduction Schedule</t>
  </si>
  <si>
    <t>Exemption Allowance</t>
  </si>
  <si>
    <t>  </t>
  </si>
  <si>
    <t>Total Value</t>
  </si>
  <si>
    <t>Year</t>
  </si>
  <si>
    <t>Step</t>
  </si>
  <si>
    <t>Reduction</t>
  </si>
  <si>
    <t>Value / Exemption</t>
  </si>
  <si>
    <t>AGI</t>
  </si>
  <si>
    <t>Cash</t>
  </si>
  <si>
    <t>Your Projected Retirement Savings Need</t>
  </si>
  <si>
    <t>But, if you wait</t>
  </si>
  <si>
    <t>Average Tax-Deferred Monthly Savings to Achieve Goal</t>
  </si>
  <si>
    <t>Your portfolio allocation is</t>
  </si>
  <si>
    <t>Your Preretirement Allocation</t>
  </si>
  <si>
    <t>No</t>
  </si>
  <si>
    <t xml:space="preserve">Current Percentage of Retirement Assets in Tax-sheltered Accounts = </t>
  </si>
  <si>
    <t>Amount</t>
  </si>
  <si>
    <t>=</t>
  </si>
  <si>
    <t>-</t>
  </si>
  <si>
    <t>+</t>
  </si>
  <si>
    <t>Credit Card and Consumer/Installment Debt</t>
  </si>
  <si>
    <t>Desired Mortgage Reduction</t>
  </si>
  <si>
    <t>Other Transitional Needs</t>
  </si>
  <si>
    <t>Years until youngest child reaches age 18</t>
  </si>
  <si>
    <t>Projected inflation rate</t>
  </si>
  <si>
    <t>Retirement Savings and Investments</t>
  </si>
  <si>
    <t>Other Assets</t>
  </si>
  <si>
    <t>Projected real rate of return</t>
  </si>
  <si>
    <t>After-tax Rate of Return</t>
  </si>
  <si>
    <t>Inflation Rate</t>
  </si>
  <si>
    <t xml:space="preserve">Annual survivor income need </t>
  </si>
  <si>
    <t>State Estate Taxes (if any)</t>
  </si>
  <si>
    <t>x</t>
  </si>
  <si>
    <t>be 70% or greater of previous income)</t>
  </si>
  <si>
    <t>Number of people remaining in household</t>
  </si>
  <si>
    <t>Total Final Expenses</t>
  </si>
  <si>
    <t>Total Debt Elimination Expenses</t>
  </si>
  <si>
    <t>Total Transitional Expenses</t>
  </si>
  <si>
    <t>Anticipated Annual Family Expenses</t>
  </si>
  <si>
    <t>Household Expense Ratio (assumed to</t>
  </si>
  <si>
    <t>Self-Supporting</t>
  </si>
  <si>
    <t>Income to be Replaced Until Spouse Retires</t>
  </si>
  <si>
    <t>Pension Benefits and Income</t>
  </si>
  <si>
    <t>Total Intermediate Retirement Expenses</t>
  </si>
  <si>
    <t>Total Retirement Expenses</t>
  </si>
  <si>
    <t>Income to be Replaced During Retirement</t>
  </si>
  <si>
    <t>Total Expenses</t>
  </si>
  <si>
    <t>Total Assets</t>
  </si>
  <si>
    <t>Childrens' Ages</t>
  </si>
  <si>
    <t>Bracket Tax</t>
  </si>
  <si>
    <t>Estate Tax Credit</t>
  </si>
  <si>
    <t>Applicable Exclusion</t>
  </si>
  <si>
    <t>Applicable Credit Amount</t>
  </si>
  <si>
    <t>Client:</t>
  </si>
  <si>
    <t>Address:</t>
  </si>
  <si>
    <t>Apt # :</t>
  </si>
  <si>
    <t>City:</t>
  </si>
  <si>
    <t>State:</t>
  </si>
  <si>
    <t>Zip Code:</t>
  </si>
  <si>
    <t>Children:</t>
  </si>
  <si>
    <t>DOB</t>
  </si>
  <si>
    <t>Age</t>
  </si>
  <si>
    <t xml:space="preserve">DOB:  </t>
  </si>
  <si>
    <t xml:space="preserve">SSN:  </t>
  </si>
  <si>
    <t xml:space="preserve">Age:  </t>
  </si>
  <si>
    <t>Street:</t>
  </si>
  <si>
    <t>Address</t>
  </si>
  <si>
    <t>Occupation</t>
  </si>
  <si>
    <t>Employer:</t>
  </si>
  <si>
    <t>Duration:</t>
  </si>
  <si>
    <t>Position:</t>
  </si>
  <si>
    <t>Client's</t>
  </si>
  <si>
    <t>Ann Salary:</t>
  </si>
  <si>
    <t>Personal</t>
  </si>
  <si>
    <t xml:space="preserve">Home Ph: </t>
  </si>
  <si>
    <t xml:space="preserve">Office Ph: </t>
  </si>
  <si>
    <t xml:space="preserve">Mobile Ph: </t>
  </si>
  <si>
    <t>Balance Sheet</t>
  </si>
  <si>
    <t>Real</t>
  </si>
  <si>
    <t>Auto 1</t>
  </si>
  <si>
    <t>Auto 2</t>
  </si>
  <si>
    <t>Value</t>
  </si>
  <si>
    <t>Ownership</t>
  </si>
  <si>
    <t>joint</t>
  </si>
  <si>
    <t xml:space="preserve">  Single</t>
  </si>
  <si>
    <t xml:space="preserve">  Married Filing Jointly</t>
  </si>
  <si>
    <t xml:space="preserve">  Married Filing Separately</t>
  </si>
  <si>
    <t xml:space="preserve">  Head of Household</t>
  </si>
  <si>
    <t xml:space="preserve">  Qualifying Widow(er)</t>
  </si>
  <si>
    <t>Update:</t>
  </si>
  <si>
    <t>State Income Tax Estimator</t>
  </si>
  <si>
    <t>State of Residence</t>
  </si>
  <si>
    <t>Marginal Tax Bracket</t>
  </si>
  <si>
    <t>State Deduction(s)</t>
  </si>
  <si>
    <t>State Exemption(s)</t>
  </si>
  <si>
    <t xml:space="preserve">number: </t>
  </si>
  <si>
    <t xml:space="preserve">amount: </t>
  </si>
  <si>
    <t>Specified Short-Term Goal(s)</t>
  </si>
  <si>
    <t>Specified Intermediate-Term Goal(s)</t>
  </si>
  <si>
    <t>Specified Long-Term Goal(s)</t>
  </si>
  <si>
    <t>Other Non-specified Goals</t>
  </si>
  <si>
    <t>Warnings and Alerts</t>
  </si>
  <si>
    <t>Income Statement</t>
  </si>
  <si>
    <t>Committed Expense</t>
  </si>
  <si>
    <t>Uncommitted Expense</t>
  </si>
  <si>
    <t>Goal Cost Estimator</t>
  </si>
  <si>
    <t>Income Tax Estimator</t>
  </si>
  <si>
    <t>Education Estimator</t>
  </si>
  <si>
    <t>Life Insurance Estimator</t>
  </si>
  <si>
    <t>Retirement Estimator</t>
  </si>
  <si>
    <t>Estate Tax Estimator</t>
  </si>
  <si>
    <t>equity</t>
  </si>
  <si>
    <t>Monthly</t>
  </si>
  <si>
    <t>Annually</t>
  </si>
  <si>
    <t>Combined</t>
  </si>
  <si>
    <t>Name of Holding</t>
  </si>
  <si>
    <t>Client Info</t>
  </si>
  <si>
    <t>Client</t>
  </si>
  <si>
    <t>Co-client</t>
  </si>
  <si>
    <t>Earned</t>
  </si>
  <si>
    <t>Unearned</t>
  </si>
  <si>
    <t xml:space="preserve">Years until primary earner retirement = </t>
  </si>
  <si>
    <t>Large-Cap</t>
  </si>
  <si>
    <t>Mid-Cap</t>
  </si>
  <si>
    <t>Small-Cap</t>
  </si>
  <si>
    <t>Corporate</t>
  </si>
  <si>
    <t>Government</t>
  </si>
  <si>
    <t>High-Yield</t>
  </si>
  <si>
    <t>Real-Estate</t>
  </si>
  <si>
    <t>Gold</t>
  </si>
  <si>
    <t xml:space="preserve">Total Hedges = </t>
  </si>
  <si>
    <t xml:space="preserve">Cash = </t>
  </si>
  <si>
    <t>EAFE</t>
  </si>
  <si>
    <t>Your Post-retirement Allocation</t>
  </si>
  <si>
    <t>Drop down lists</t>
  </si>
  <si>
    <t>Cell</t>
  </si>
  <si>
    <t>D10</t>
  </si>
  <si>
    <t>(1999-2004)</t>
  </si>
  <si>
    <t>(1995-2004)</t>
  </si>
  <si>
    <t>(1985-2004)</t>
  </si>
  <si>
    <t xml:space="preserve">Annual Anticipated Inflation Rate = </t>
  </si>
  <si>
    <t>Past performance is no guarantee of future results.</t>
  </si>
  <si>
    <t>Social Security</t>
  </si>
  <si>
    <t>Post-disability Monthly Income</t>
  </si>
  <si>
    <t>Total taxfree benefits</t>
  </si>
  <si>
    <t>Total taxable benefits</t>
  </si>
  <si>
    <t>Monthly Expenses</t>
  </si>
  <si>
    <t>Gross Income Total</t>
  </si>
  <si>
    <t>Other taxable benefits or income</t>
  </si>
  <si>
    <t>*</t>
  </si>
  <si>
    <t>Communication</t>
  </si>
  <si>
    <t>Entertainment</t>
  </si>
  <si>
    <t>Education</t>
  </si>
  <si>
    <t>Housing</t>
  </si>
  <si>
    <t>Medical</t>
  </si>
  <si>
    <t>Transportation</t>
  </si>
  <si>
    <t>Telephone (cell, landline, etc.)</t>
  </si>
  <si>
    <t>Household Maintenance &amp; Repairs</t>
  </si>
  <si>
    <t>Parking &amp; Tolls</t>
  </si>
  <si>
    <t>Household &amp; Personal Care</t>
  </si>
  <si>
    <t>Domestic Help (maids, baby-sitters, etc)</t>
  </si>
  <si>
    <t>Groceries</t>
  </si>
  <si>
    <t>Professional (cont ed, professional dues, etc.)</t>
  </si>
  <si>
    <t>College</t>
  </si>
  <si>
    <t>Room &amp; Board</t>
  </si>
  <si>
    <t>Books &amp; Fees</t>
  </si>
  <si>
    <t>User Fees (safe deposit box, etc.)</t>
  </si>
  <si>
    <t>Legal &amp; Accounting Service Fees</t>
  </si>
  <si>
    <t>Hobbies (model building, reading, sewing, etc.)</t>
  </si>
  <si>
    <t>Personal Care &amp; Grooming (hairdresser, etc.)</t>
  </si>
  <si>
    <t>Utilities (water, sewer, gas, oil, trash, electric)</t>
  </si>
  <si>
    <t>Banking and Investment</t>
  </si>
  <si>
    <t>Funeral / burial expenses</t>
  </si>
  <si>
    <t>Income taxes</t>
  </si>
  <si>
    <t>Charitable contributions</t>
  </si>
  <si>
    <t>Average Tax Rate</t>
  </si>
  <si>
    <t>Total Dedicated Expenses</t>
  </si>
  <si>
    <t>Enter Co-client specific data only if expenses are kept seperately.</t>
  </si>
  <si>
    <t>(Total Insurance)</t>
  </si>
  <si>
    <t>Actual Social Security Withholding</t>
  </si>
  <si>
    <t>Actual Federal Tax Withholding</t>
  </si>
  <si>
    <t>Actual State Tax Withholding</t>
  </si>
  <si>
    <t>Public (trains, buses, taxis, etc.)</t>
  </si>
  <si>
    <t>Dedicated</t>
  </si>
  <si>
    <t>Discretionary</t>
  </si>
  <si>
    <t>Projected Salary (Earned Income) at Retirement</t>
  </si>
  <si>
    <t>Retirement</t>
  </si>
  <si>
    <t>Keogh</t>
  </si>
  <si>
    <t>Automobile 1</t>
  </si>
  <si>
    <t>Automobile 2</t>
  </si>
  <si>
    <t>bond</t>
  </si>
  <si>
    <t>hedge</t>
  </si>
  <si>
    <t>international</t>
  </si>
  <si>
    <t>cash</t>
  </si>
  <si>
    <t>trust/other</t>
  </si>
  <si>
    <t>Visa</t>
  </si>
  <si>
    <t>Current</t>
  </si>
  <si>
    <t>Tax-Shelter</t>
  </si>
  <si>
    <t>Non-Qual</t>
  </si>
  <si>
    <t>401(k)</t>
  </si>
  <si>
    <t>403(b)</t>
  </si>
  <si>
    <t>457 Plan</t>
  </si>
  <si>
    <t>Trad IRA</t>
  </si>
  <si>
    <t>Roth IRA</t>
  </si>
  <si>
    <t>SEP-IRA</t>
  </si>
  <si>
    <t>Simple</t>
  </si>
  <si>
    <t>529 Plan</t>
  </si>
  <si>
    <t>Coverdell</t>
  </si>
  <si>
    <t>UGMA</t>
  </si>
  <si>
    <t>Account Type</t>
  </si>
  <si>
    <t>ASSETS</t>
  </si>
  <si>
    <t>LIABILITIES</t>
  </si>
  <si>
    <t>Yes</t>
  </si>
  <si>
    <t>Retirement Assets</t>
  </si>
  <si>
    <t>Real Assets</t>
  </si>
  <si>
    <t>Personal/Collectible</t>
  </si>
  <si>
    <t>Current Liabilities</t>
  </si>
  <si>
    <t>Long-term Liabilities</t>
  </si>
  <si>
    <t>Credit Card</t>
  </si>
  <si>
    <t>Short-term Installment</t>
  </si>
  <si>
    <t>Mortgage</t>
  </si>
  <si>
    <t>2nd Mort</t>
  </si>
  <si>
    <t>HELOC</t>
  </si>
  <si>
    <t>Unsecured</t>
  </si>
  <si>
    <t>MasterCard</t>
  </si>
  <si>
    <t>Amer Exp</t>
  </si>
  <si>
    <t>Gas</t>
  </si>
  <si>
    <t>Store</t>
  </si>
  <si>
    <t>Use</t>
  </si>
  <si>
    <t>Long-term</t>
  </si>
  <si>
    <t>NET WORTH</t>
  </si>
  <si>
    <t>Checking</t>
  </si>
  <si>
    <t>Savings</t>
  </si>
  <si>
    <t>Current monthly savings</t>
  </si>
  <si>
    <t>Client Disability</t>
  </si>
  <si>
    <t>Co-client Disability</t>
  </si>
  <si>
    <t>Assets</t>
  </si>
  <si>
    <t>Gross Estate</t>
  </si>
  <si>
    <t>Life Insurance</t>
  </si>
  <si>
    <t>Estate admin / legal expenses</t>
  </si>
  <si>
    <t>Outstanding liabilities</t>
  </si>
  <si>
    <t>Client Death</t>
  </si>
  <si>
    <t>Taxable Estate</t>
  </si>
  <si>
    <t>Gross tax liability</t>
  </si>
  <si>
    <t>Estate tax credit</t>
  </si>
  <si>
    <t>Bracket Bottom</t>
  </si>
  <si>
    <t>Bracket Top</t>
  </si>
  <si>
    <t xml:space="preserve">Client 1st to Die Tax Owed = </t>
  </si>
  <si>
    <t xml:space="preserve">Co-Client 1st to Die Tax Owed = </t>
  </si>
  <si>
    <t xml:space="preserve">Client 2nd to Die Tax Owed = </t>
  </si>
  <si>
    <t xml:space="preserve">Co-Client 2nd to Die Tax Owed = </t>
  </si>
  <si>
    <t>First Death Estate Tax Liability</t>
  </si>
  <si>
    <t>Aggregate estate tax liability</t>
  </si>
  <si>
    <t>Qualified marital transfer</t>
  </si>
  <si>
    <t>Co-client Death</t>
  </si>
  <si>
    <t>First death estate tax liability</t>
  </si>
  <si>
    <t>Second death estate tax liability</t>
  </si>
  <si>
    <t>Determine Real Rate of Return on Investments Until Survivor's Retirement</t>
  </si>
  <si>
    <t>Survivor's Desired Annual Income at Retirement</t>
  </si>
  <si>
    <t>Years until retirement of survivor</t>
  </si>
  <si>
    <t>Final Expenses</t>
  </si>
  <si>
    <t>Debt Elimination Expenses (not paid from estate)</t>
  </si>
  <si>
    <t>Educational Expenses for Your children</t>
  </si>
  <si>
    <t>Assets and Insurance Available to Cover Needs</t>
  </si>
  <si>
    <t>Total Survivor Life Expenses</t>
  </si>
  <si>
    <t>Determine Real Rate of Return on Investments After Survivor's Retirement</t>
  </si>
  <si>
    <t>Client's Death</t>
  </si>
  <si>
    <t>Co-client's Death</t>
  </si>
  <si>
    <t>Income to be Replaced Until Children/Dependents are</t>
  </si>
  <si>
    <t>Income Multiplier Approach Total</t>
  </si>
  <si>
    <t>Elimination Period Need</t>
  </si>
  <si>
    <t>Monthly shortfall during elimination period</t>
  </si>
  <si>
    <t>Total monthly income</t>
  </si>
  <si>
    <t>Total monthly expenses</t>
  </si>
  <si>
    <t>S/T Disability Ins. Monthly Benefit</t>
  </si>
  <si>
    <t>Short-term Disability Need</t>
  </si>
  <si>
    <t>Long-term Disability Need</t>
  </si>
  <si>
    <t>Short-term elimination period coverage</t>
  </si>
  <si>
    <t>Long-term elimination period coverage</t>
  </si>
  <si>
    <t>Total elimination period coverage</t>
  </si>
  <si>
    <t>L/T Disability Ins. Monthly Benefit</t>
  </si>
  <si>
    <t>VUL</t>
  </si>
  <si>
    <t>other</t>
  </si>
  <si>
    <t>Non-Qualified</t>
  </si>
  <si>
    <t>Current Retirement Assets</t>
  </si>
  <si>
    <t xml:space="preserve">Total = </t>
  </si>
  <si>
    <t>Trad / Roth IRA</t>
  </si>
  <si>
    <t>401(k) / 403(b)</t>
  </si>
  <si>
    <t>SEP / Simple / Keogh</t>
  </si>
  <si>
    <t xml:space="preserve">Primary Earner Target Retirement Age = </t>
  </si>
  <si>
    <t>Years in "early" retirement</t>
  </si>
  <si>
    <t>Projected salary replacement</t>
  </si>
  <si>
    <t>Total years in retirement</t>
  </si>
  <si>
    <t>Years in "normal" retirement</t>
  </si>
  <si>
    <t>Account</t>
  </si>
  <si>
    <t>Value at Retirement</t>
  </si>
  <si>
    <t>Additional Funding Requirement</t>
  </si>
  <si>
    <t>Annual Contribution Growth Rate</t>
  </si>
  <si>
    <t>Employer Match ($)</t>
  </si>
  <si>
    <t>Amount ($)</t>
  </si>
  <si>
    <t>Projected Returns Data</t>
  </si>
  <si>
    <t>Selected</t>
  </si>
  <si>
    <t>Pre-retirement return</t>
  </si>
  <si>
    <t>Post-retirement return</t>
  </si>
  <si>
    <t xml:space="preserve">Total annual contribution = </t>
  </si>
  <si>
    <t>Def. Cont. Plan / VUL</t>
  </si>
  <si>
    <t>Which set of returns should be used for projections?</t>
  </si>
  <si>
    <t>User-defined</t>
  </si>
  <si>
    <t>Total savings need</t>
  </si>
  <si>
    <t xml:space="preserve">First year need = </t>
  </si>
  <si>
    <t>Current Additional Annual Retirement Funding (assumes end-of-year deposits)</t>
  </si>
  <si>
    <r>
      <t>Early</t>
    </r>
    <r>
      <rPr>
        <b/>
        <sz val="10"/>
        <rFont val="Arial"/>
        <family val="2"/>
      </rPr>
      <t xml:space="preserve"> Retirement Funding (assumes beginning-of-year withdrawals)</t>
    </r>
  </si>
  <si>
    <r>
      <t>Normal</t>
    </r>
    <r>
      <rPr>
        <b/>
        <sz val="10"/>
        <rFont val="Arial"/>
        <family val="2"/>
      </rPr>
      <t xml:space="preserve"> Retirement Funding (assumes beginning-of-year withdrawals)</t>
    </r>
  </si>
  <si>
    <t>(Total Debt Management)</t>
  </si>
  <si>
    <t>Intermediate Retirement Expenses (Age 60 to "Full Retirement")</t>
  </si>
  <si>
    <t>Assumed gross investment return</t>
  </si>
  <si>
    <t xml:space="preserve">Net estate growth rate after 1st death </t>
  </si>
  <si>
    <t>Short-term policy</t>
  </si>
  <si>
    <t>Long-term policy</t>
  </si>
  <si>
    <t>Benefit Period (in months)</t>
  </si>
  <si>
    <t>Elimination Period (in months)</t>
  </si>
  <si>
    <r>
      <t>Effective</t>
    </r>
    <r>
      <rPr>
        <sz val="10"/>
        <rFont val="Arial"/>
        <family val="0"/>
      </rPr>
      <t xml:space="preserve"> elimination period (months)</t>
    </r>
  </si>
  <si>
    <t>Results</t>
  </si>
  <si>
    <r>
      <t xml:space="preserve">Monthly surplus or shortfall during </t>
    </r>
    <r>
      <rPr>
        <i/>
        <sz val="10"/>
        <color indexed="10"/>
        <rFont val="Arial"/>
        <family val="2"/>
      </rPr>
      <t>short-term</t>
    </r>
    <r>
      <rPr>
        <sz val="10"/>
        <rFont val="Arial"/>
        <family val="0"/>
      </rPr>
      <t xml:space="preserve"> disability (after elimination period)</t>
    </r>
  </si>
  <si>
    <r>
      <t xml:space="preserve">Monthly surplus or shortfall during </t>
    </r>
    <r>
      <rPr>
        <i/>
        <sz val="10"/>
        <color indexed="10"/>
        <rFont val="Arial"/>
        <family val="2"/>
      </rPr>
      <t>long-term</t>
    </r>
    <r>
      <rPr>
        <sz val="10"/>
        <rFont val="Arial"/>
        <family val="0"/>
      </rPr>
      <t xml:space="preserve"> disability (after elimination period)</t>
    </r>
  </si>
  <si>
    <r>
      <t xml:space="preserve">Total emergency fund savings need to cover </t>
    </r>
    <r>
      <rPr>
        <i/>
        <sz val="10"/>
        <color indexed="10"/>
        <rFont val="Arial"/>
        <family val="2"/>
      </rPr>
      <t>all</t>
    </r>
    <r>
      <rPr>
        <sz val="10"/>
        <rFont val="Arial"/>
        <family val="0"/>
      </rPr>
      <t xml:space="preserve"> elimination periods</t>
    </r>
  </si>
  <si>
    <t>Tax Credits</t>
  </si>
  <si>
    <t>Gross Estimated Federal Tax Liability</t>
  </si>
  <si>
    <t>Net Estimated Federal Tax Liability</t>
  </si>
  <si>
    <t>Policy purchased with "after-tax" dollars</t>
  </si>
  <si>
    <t>Policy purchased with "pre-tax" dollars</t>
  </si>
  <si>
    <t>Pre-disability expense coverage ratio</t>
  </si>
  <si>
    <t>Short-term disability expense coverage ratio</t>
  </si>
  <si>
    <t>Long-term disability expense coverage ratio</t>
  </si>
  <si>
    <t>From this point forward assume</t>
  </si>
  <si>
    <t>Total Dependency Period Expenses</t>
  </si>
  <si>
    <t>Client's Age</t>
  </si>
  <si>
    <t>Co-client's Age</t>
  </si>
  <si>
    <t>Total Household Expenses</t>
  </si>
  <si>
    <t>Which expenses should be used for calculations?</t>
  </si>
  <si>
    <t>Historical</t>
  </si>
  <si>
    <t xml:space="preserve">Household Expenses during Survivor's Life </t>
  </si>
  <si>
    <t>Household Expenses during Dependency Period</t>
  </si>
  <si>
    <t>(needs while children are at home)</t>
  </si>
  <si>
    <t>Selected expenses</t>
  </si>
  <si>
    <t>Anticipated Household Expenses</t>
  </si>
  <si>
    <t>Education/Re-training Expenses for Survivor</t>
  </si>
  <si>
    <t>Child Care and Homemaker Services</t>
  </si>
  <si>
    <t>Combined (fed, state, &amp; local) marginal tax bracket</t>
  </si>
  <si>
    <t>Automobile Debt</t>
  </si>
  <si>
    <t>Other Debt to be Paid Off at Death</t>
  </si>
  <si>
    <t>Federal Estate Taxes (from Estate Tax Estimator)</t>
  </si>
  <si>
    <t>Transitional Expenses (total estimated cost amounts)</t>
  </si>
  <si>
    <t>CLIENT INFORMATION</t>
  </si>
  <si>
    <r>
      <t xml:space="preserve">Client's </t>
    </r>
    <r>
      <rPr>
        <sz val="10"/>
        <color indexed="10"/>
        <rFont val="Arial"/>
        <family val="2"/>
      </rPr>
      <t>Total</t>
    </r>
    <r>
      <rPr>
        <sz val="10"/>
        <rFont val="Arial"/>
        <family val="2"/>
      </rPr>
      <t xml:space="preserve"> Income</t>
    </r>
  </si>
  <si>
    <r>
      <t xml:space="preserve">Co-client's </t>
    </r>
    <r>
      <rPr>
        <sz val="10"/>
        <color indexed="10"/>
        <rFont val="Arial"/>
        <family val="2"/>
      </rPr>
      <t>Total</t>
    </r>
    <r>
      <rPr>
        <sz val="10"/>
        <rFont val="Arial"/>
        <family val="2"/>
      </rPr>
      <t xml:space="preserve"> Income</t>
    </r>
  </si>
  <si>
    <t>LIFE INSURANCE ESTIMATION WORKSHEET</t>
  </si>
  <si>
    <t>Combined (Fed, state &amp; local) marginal tax bracket</t>
  </si>
  <si>
    <t>Retirement Expenses ("Full Retirement Age" to Death)</t>
  </si>
  <si>
    <t>Years</t>
  </si>
  <si>
    <t xml:space="preserve">Current Monthly Savings = </t>
  </si>
  <si>
    <t xml:space="preserve">Immediate Lump-sum Funding Needed to Meet Goal = </t>
  </si>
  <si>
    <t>Current Value of Savings for Child 1 =</t>
  </si>
  <si>
    <t>Current Annual Cost of College</t>
  </si>
  <si>
    <t>Taxable</t>
  </si>
  <si>
    <t xml:space="preserve">Child 1 Current Cost = </t>
  </si>
  <si>
    <t xml:space="preserve">Child 2 Current Cost = </t>
  </si>
  <si>
    <t xml:space="preserve">Child 3 Current Cost = </t>
  </si>
  <si>
    <t>Annual College Cost</t>
  </si>
  <si>
    <t>Retirement Age</t>
  </si>
  <si>
    <t>Salary</t>
  </si>
  <si>
    <t>Client Information Page</t>
  </si>
  <si>
    <t>Non-taxable Income</t>
  </si>
  <si>
    <t>Dedicated Expense Page</t>
  </si>
  <si>
    <t>Insurance Premiums</t>
  </si>
  <si>
    <t>Savings / Investments</t>
  </si>
  <si>
    <t>Total Discretionary Expenses</t>
  </si>
  <si>
    <t>Discretionary Expense Page</t>
  </si>
  <si>
    <t>Total Liabilites</t>
  </si>
  <si>
    <t>Net Worth</t>
  </si>
  <si>
    <t>Income Tax Page</t>
  </si>
  <si>
    <t>FICA Tax</t>
  </si>
  <si>
    <t>Education Cost Page</t>
  </si>
  <si>
    <t>Rate of Return</t>
  </si>
  <si>
    <t>Child 1</t>
  </si>
  <si>
    <t>Child 2</t>
  </si>
  <si>
    <t>Child 3</t>
  </si>
  <si>
    <t>Life Insurance Page (Needs-based)</t>
  </si>
  <si>
    <t>Debt Reduction</t>
  </si>
  <si>
    <t>Transitional</t>
  </si>
  <si>
    <t>Period w/ Dependents</t>
  </si>
  <si>
    <t>Survivor Pre- and Post-retirement</t>
  </si>
  <si>
    <t>Life Insurance Page (Other methods)</t>
  </si>
  <si>
    <t>Income Multiplier</t>
  </si>
  <si>
    <t>Disability Insurance Page</t>
  </si>
  <si>
    <t>Short-term Elimination Period</t>
  </si>
  <si>
    <t>Long-term Elimination Period</t>
  </si>
  <si>
    <t>Short-term Benefit Period</t>
  </si>
  <si>
    <t>Long-term Benefit Period</t>
  </si>
  <si>
    <t>Retirement Estimator Page</t>
  </si>
  <si>
    <t>Primary Earner Retirement Age</t>
  </si>
  <si>
    <t>Estimated Future Tax Bracket</t>
  </si>
  <si>
    <t>Annual Contributions</t>
  </si>
  <si>
    <t>Total Value of Current Savings</t>
  </si>
  <si>
    <t>Estate Tax Page</t>
  </si>
  <si>
    <t>Debt Management</t>
  </si>
  <si>
    <t>First Death Tax Liability</t>
  </si>
  <si>
    <t>Salary Replacement Percentage</t>
  </si>
  <si>
    <t>Primary earner age at death</t>
  </si>
  <si>
    <t>Primary Earner Age at Death</t>
  </si>
  <si>
    <t xml:space="preserve">Anticipated Inflation Rate </t>
  </si>
  <si>
    <t>Tax-advantaged</t>
  </si>
  <si>
    <t>Is the primary education funding account taxable or tax-advantaged?</t>
  </si>
  <si>
    <t>Years until Beginning of College</t>
  </si>
  <si>
    <t>Years to Complete College</t>
  </si>
  <si>
    <t>Costs for 1st Child</t>
  </si>
  <si>
    <t>Savings Need for 1st Child</t>
  </si>
  <si>
    <t>Costs for 2nd Child</t>
  </si>
  <si>
    <t>Savings Need for 2nd Child</t>
  </si>
  <si>
    <t>Costs for 3rd Child</t>
  </si>
  <si>
    <t>Savings Need for 3rd Child</t>
  </si>
  <si>
    <t>Specified Education Goal(s)</t>
  </si>
  <si>
    <t>Taxable or Tax-advantaged</t>
  </si>
  <si>
    <t>Funding complete prior to enrollment</t>
  </si>
  <si>
    <t>Current Monthly Savings</t>
  </si>
  <si>
    <t>Current Annual Cost</t>
  </si>
  <si>
    <t>Estimated Future Total Cost</t>
  </si>
  <si>
    <t>Additional Monthly Funding Necessary</t>
  </si>
  <si>
    <t>Auto Payment(s) / Lease(s)</t>
  </si>
  <si>
    <r>
      <t xml:space="preserve">* Only include these amount if </t>
    </r>
    <r>
      <rPr>
        <b/>
        <u val="single"/>
        <sz val="9"/>
        <color indexed="10"/>
        <rFont val="Arial"/>
        <family val="2"/>
      </rPr>
      <t>not</t>
    </r>
    <r>
      <rPr>
        <sz val="9"/>
        <color indexed="10"/>
        <rFont val="Arial"/>
        <family val="0"/>
      </rPr>
      <t xml:space="preserve"> paid through a salary reduction agreement</t>
    </r>
  </si>
  <si>
    <t>Personal/Collectible Assets</t>
  </si>
  <si>
    <t>Use/Lifestyle Assets</t>
  </si>
  <si>
    <t>Primary Residence</t>
  </si>
  <si>
    <t>Education / Special Needs</t>
  </si>
  <si>
    <t>Personal / Collectible</t>
  </si>
  <si>
    <t>Use / Lifestyle</t>
  </si>
  <si>
    <t>Name / Type of Holding</t>
  </si>
  <si>
    <t>Secondary Residence</t>
  </si>
  <si>
    <t xml:space="preserve">Anticipated Annual Pre-tax Return </t>
  </si>
  <si>
    <t>Current income of decedent</t>
  </si>
  <si>
    <t>Housing Payment (Rent / Mortgage / HOA Dues)</t>
  </si>
  <si>
    <t>Postage / Shipping</t>
  </si>
  <si>
    <t>Tobacco / Gambling / Alcohol</t>
  </si>
  <si>
    <t>Personal Vacations / Long Weekends</t>
  </si>
  <si>
    <t>Expenses (paid from estate)</t>
  </si>
  <si>
    <t>"Grossed-up" Estate</t>
  </si>
  <si>
    <t>(Cash-value only)</t>
  </si>
  <si>
    <t>(Death benefit amount)</t>
  </si>
  <si>
    <t>QTIP property</t>
  </si>
  <si>
    <t>Revocable trust property</t>
  </si>
  <si>
    <t>Total expenses</t>
  </si>
  <si>
    <t>Total reductions</t>
  </si>
  <si>
    <t>Second Death Tax Liability</t>
  </si>
  <si>
    <t>Gift-adjusted Taxable Estate</t>
  </si>
  <si>
    <t>subsequent to first death</t>
  </si>
  <si>
    <t>Gift taxes paid during most recent</t>
  </si>
  <si>
    <t>prior to date of first death</t>
  </si>
  <si>
    <t>Reductions (subsequent to first death)</t>
  </si>
  <si>
    <t>Reductions (prior to or at first death)</t>
  </si>
  <si>
    <t>Total Reductions</t>
  </si>
  <si>
    <t>Second Death Estate Tax Liability</t>
  </si>
  <si>
    <t>Gross Estate (after growth)</t>
  </si>
  <si>
    <t>three years prior to 2nd death.</t>
  </si>
  <si>
    <t>three years prior to 1st death.</t>
  </si>
  <si>
    <t>Trust Assets (includable in estate)</t>
  </si>
  <si>
    <t>upon first death</t>
  </si>
  <si>
    <t>(less expenses and transfers)</t>
  </si>
  <si>
    <t>Original Gross Estate</t>
  </si>
  <si>
    <t>Additional assets to be irrevocably removed</t>
  </si>
  <si>
    <t>Planned tax-free gifts</t>
  </si>
  <si>
    <t>If Co-client dies first</t>
  </si>
  <si>
    <t>If Client dies first</t>
  </si>
  <si>
    <t>Gift-Adjusted Taxable Estate</t>
  </si>
  <si>
    <t>Monetary / Liquid Assets</t>
  </si>
  <si>
    <t>Investment Assets</t>
  </si>
  <si>
    <t>Federal Income Tax Estimator</t>
  </si>
  <si>
    <t>Assets received from marital transfer</t>
  </si>
  <si>
    <t>The decedent is NOT the insured.</t>
  </si>
  <si>
    <t>The decedent was the insured.</t>
  </si>
  <si>
    <t>Pre-disability Monthly Income (For comparison purposes)</t>
  </si>
  <si>
    <t xml:space="preserve">Total Annual Income Remaining = </t>
  </si>
  <si>
    <t>Tax-free Social Security benefits</t>
  </si>
  <si>
    <t>Taxable Social Security benefits</t>
  </si>
  <si>
    <t>Projected length of disability (in months)</t>
  </si>
  <si>
    <t>Total S/T elimination period shortfall</t>
  </si>
  <si>
    <t>Total L/T elimination period shortfall</t>
  </si>
  <si>
    <t>Assume disabled person qualifies for Social Security benefits</t>
  </si>
  <si>
    <t>Will saving continue during disability period?</t>
  </si>
  <si>
    <t>Estate Administration (legal, executor, etc.)</t>
  </si>
  <si>
    <t>Final Expenses (medical, funeral, burial, etc.)</t>
  </si>
  <si>
    <t>Other Immediate Needs (income taxes, etc.)</t>
  </si>
  <si>
    <t>State Adjustments</t>
  </si>
  <si>
    <t>2nd to Die Marginal Estate Tax Rates</t>
  </si>
  <si>
    <t>1st to Die Marginal Estate Tax Rates</t>
  </si>
  <si>
    <t>Assumed age at death:</t>
  </si>
  <si>
    <t>Social Security "full" retirement age:</t>
  </si>
  <si>
    <t>Co-client:</t>
  </si>
  <si>
    <t>Co-client's</t>
  </si>
  <si>
    <r>
      <t>Retirement Income</t>
    </r>
    <r>
      <rPr>
        <sz val="10"/>
        <rFont val="Arial"/>
        <family val="2"/>
      </rPr>
      <t xml:space="preserve"> at Full Retirement Age</t>
    </r>
  </si>
  <si>
    <t>Anticipated Annual Social Security</t>
  </si>
  <si>
    <t>Years until survivor reaches full retirement age</t>
  </si>
  <si>
    <t>Survivor's Age at "Full Retirement"</t>
  </si>
  <si>
    <t>Survivor's Age at Death</t>
  </si>
  <si>
    <t>Death Benefit from Current Insurance Policies</t>
  </si>
  <si>
    <t xml:space="preserve">Current Household Earned Income = </t>
  </si>
  <si>
    <t>years to start saving, you need</t>
  </si>
  <si>
    <t xml:space="preserve">Total Future Cost of Education = </t>
  </si>
  <si>
    <t>Anticipated Annual Pension Income</t>
  </si>
  <si>
    <t>at Full Retirement Age</t>
  </si>
  <si>
    <t>Life insurance proceeds received upon first</t>
  </si>
  <si>
    <r>
      <t xml:space="preserve">death, if </t>
    </r>
    <r>
      <rPr>
        <sz val="10"/>
        <color indexed="10"/>
        <rFont val="Arial"/>
        <family val="2"/>
      </rPr>
      <t>not</t>
    </r>
    <r>
      <rPr>
        <sz val="10"/>
        <rFont val="Arial"/>
        <family val="0"/>
      </rPr>
      <t xml:space="preserve"> received via marital transfer</t>
    </r>
  </si>
  <si>
    <t xml:space="preserve">Total Educational Expenses </t>
  </si>
  <si>
    <t>(private grade school and/or college)</t>
  </si>
  <si>
    <t>Estimated Future Marginal Tax Bracket =</t>
  </si>
  <si>
    <t>Planning Period Goal Cost Summator</t>
  </si>
  <si>
    <t xml:space="preserve">Total Present Cost of Education = </t>
  </si>
  <si>
    <t>Continuing after-tax income</t>
  </si>
  <si>
    <t>Estimated After-tax "Net" Total</t>
  </si>
  <si>
    <t>Net earned income from disabled client</t>
  </si>
  <si>
    <t>Total Cost</t>
  </si>
  <si>
    <t>FV</t>
  </si>
  <si>
    <t>PV</t>
  </si>
  <si>
    <t>Scenario 1: Client Disability</t>
  </si>
  <si>
    <t>Scenario 2: Co-client Disability</t>
  </si>
  <si>
    <t>Scenario 3: Simultaneous Disability</t>
  </si>
  <si>
    <t>Simultaneous Disability</t>
  </si>
  <si>
    <t>Total Net Income During Long-term</t>
  </si>
  <si>
    <t>Total Net Income During Short-term</t>
  </si>
  <si>
    <t>Simultaneous</t>
  </si>
  <si>
    <t>VA</t>
  </si>
  <si>
    <t>Whole life</t>
  </si>
  <si>
    <t>Universal life</t>
  </si>
  <si>
    <t>Variable life</t>
  </si>
  <si>
    <t>Allocation Classification</t>
  </si>
  <si>
    <t>Interest Rate</t>
  </si>
  <si>
    <t>Change in Monthly Savings Needed to Match Goal =</t>
  </si>
  <si>
    <t>Vacation Home</t>
  </si>
  <si>
    <t>Auto 3</t>
  </si>
  <si>
    <t>Electronics</t>
  </si>
  <si>
    <t>Watercraft (Boat/Jet-ski)</t>
  </si>
  <si>
    <t>Second Mortgage / Home Equity</t>
  </si>
  <si>
    <t>Monetary / Liquid</t>
  </si>
  <si>
    <t>Insurance Assets</t>
  </si>
  <si>
    <t>Face Value</t>
  </si>
  <si>
    <t>Education / Special Funding Assets</t>
  </si>
  <si>
    <t>Cash Value</t>
  </si>
  <si>
    <t>Term life</t>
  </si>
  <si>
    <t>Tax-Advantage</t>
  </si>
  <si>
    <t>Discover Card</t>
  </si>
  <si>
    <t>Furniture</t>
  </si>
  <si>
    <t>Financial (Non-retirement)</t>
  </si>
  <si>
    <t>Current Value of Savings for Child 3 =</t>
  </si>
  <si>
    <t>Current Value of Savings for Child 2 =</t>
  </si>
  <si>
    <t>Effective Rate =</t>
  </si>
  <si>
    <t>Secured Consumer Debt (furniture, etc.)</t>
  </si>
  <si>
    <t>Alarm System Monitoring</t>
  </si>
  <si>
    <t>Private Mortgage Insurance (if not in mortgage)</t>
  </si>
  <si>
    <t>Lawn/Yard (maintenance and service)</t>
  </si>
  <si>
    <t>Executor fee (approx 2%)</t>
  </si>
  <si>
    <t>Equivalent After-Tax Rate of Return</t>
  </si>
  <si>
    <t>Federal Income Tax</t>
  </si>
  <si>
    <t>State Income Tax</t>
  </si>
  <si>
    <t>Social Security (FICA) Tax</t>
  </si>
  <si>
    <r>
      <t>Estimated Taxes on Short-term Benefits</t>
    </r>
    <r>
      <rPr>
        <sz val="10"/>
        <color indexed="10"/>
        <rFont val="Arial"/>
        <family val="2"/>
      </rPr>
      <t>*</t>
    </r>
  </si>
  <si>
    <r>
      <t>Estimated Taxes on Long-term Benefits</t>
    </r>
    <r>
      <rPr>
        <sz val="10"/>
        <color indexed="10"/>
        <rFont val="Arial"/>
        <family val="2"/>
      </rPr>
      <t>*</t>
    </r>
  </si>
  <si>
    <t>Investment</t>
  </si>
  <si>
    <t>Insurance (cash value only)</t>
  </si>
  <si>
    <t>SPECIFIED GOAL FUTURE COST ESTIMATOR</t>
  </si>
  <si>
    <t>BALANCE SHEET</t>
  </si>
  <si>
    <t>TAX ESTIMATOR WORKSHEET</t>
  </si>
  <si>
    <t>FUTURE COST OF EDUCATION ESTIMATOR</t>
  </si>
  <si>
    <t>SHORT- and LONG-TERM DISABILITY ESTIMATOR</t>
  </si>
  <si>
    <t>RETIREMENT NEED ESTIMATOR</t>
  </si>
  <si>
    <t>FEDERAL ESTATE TAX ESTIMATOR</t>
  </si>
  <si>
    <t>SUMMARY OF INPUTS and RESULTS</t>
  </si>
  <si>
    <t>$10,000,00</t>
  </si>
  <si>
    <t xml:space="preserve">Total International Equities= </t>
  </si>
  <si>
    <t xml:space="preserve">Total Domestic Equities = </t>
  </si>
  <si>
    <t xml:space="preserve">Total Domestic Bonds = </t>
  </si>
  <si>
    <t>Anticipated Annual Survivor Earned Income</t>
  </si>
  <si>
    <r>
      <t>Spousal Survivor's Benefit</t>
    </r>
    <r>
      <rPr>
        <sz val="10"/>
        <rFont val="Arial"/>
        <family val="2"/>
      </rPr>
      <t xml:space="preserve"> at Age 60</t>
    </r>
  </si>
  <si>
    <r>
      <t xml:space="preserve">Eligible Soc. Sec. </t>
    </r>
    <r>
      <rPr>
        <sz val="10"/>
        <color indexed="10"/>
        <rFont val="Arial"/>
        <family val="2"/>
      </rPr>
      <t>Dependent Survivor's Benefit</t>
    </r>
  </si>
  <si>
    <t>ANNUAL INCOME STATEMENT</t>
  </si>
  <si>
    <t>ANNUAL DEDICATED EXPENSE STATEMENT</t>
  </si>
  <si>
    <t>ANNUAL DISCRETIONARY EXPENSE STATEMENT</t>
  </si>
  <si>
    <t>Ordinary Dividends</t>
  </si>
  <si>
    <t>Taxable Interest</t>
  </si>
  <si>
    <t>Tax Refunds and Credits</t>
  </si>
  <si>
    <t>Business Income (Loss)</t>
  </si>
  <si>
    <t>Realized Capital Gains (Losses)</t>
  </si>
  <si>
    <t>Rental / Royalty / Trust Income</t>
  </si>
  <si>
    <t>Federal Deduction</t>
  </si>
  <si>
    <t>Federal Adjustment</t>
  </si>
  <si>
    <t>Federal Exemption(s)</t>
  </si>
  <si>
    <t>FICA Tax Eligible Income</t>
  </si>
  <si>
    <t>Social Security Tax Liability</t>
  </si>
  <si>
    <t>Social Security / FICA Tax Estimator</t>
  </si>
  <si>
    <t>State Gross Taxable Income</t>
  </si>
  <si>
    <t xml:space="preserve">Earned Income Subtotal = </t>
  </si>
  <si>
    <t xml:space="preserve">Unearned Income Subtotal = </t>
  </si>
  <si>
    <t xml:space="preserve">Non-taxable Income Subtotal = </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</si>
  <si>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</si>
  <si>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</si>
  <si>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</si>
  <si>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</si>
  <si>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</si>
  <si>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</si>
  <si>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</si>
  <si>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</si>
  <si>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</si>
  <si>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</si>
  <si>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</si>
  <si>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</si>
  <si>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</si>
  <si>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</si>
  <si>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</si>
  <si>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</si>
  <si>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</si>
  <si>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</si>
  <si>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</si>
  <si>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</si>
  <si>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</si>
  <si>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</si>
  <si>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</si>
  <si>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</si>
  <si>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</si>
  <si>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</si>
  <si>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</si>
  <si>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</si>
  <si>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</si>
  <si>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</si>
  <si>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</si>
  <si>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</si>
  <si>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</si>
  <si>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</si>
  <si>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</si>
  <si>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</si>
  <si>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</si>
  <si>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</si>
  <si>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</si>
  <si>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</si>
  <si>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</si>
  <si>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</si>
  <si>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</si>
  <si>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</si>
  <si>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</si>
  <si>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</si>
  <si>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</si>
  <si>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</si>
  <si>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</si>
  <si>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</si>
  <si>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DEBT SERVICE</t>
  </si>
  <si>
    <t>Optional Retirement / IRA</t>
  </si>
  <si>
    <t>Total Expenses from Dedicated Expense Statement</t>
  </si>
  <si>
    <t>Disposable Income</t>
  </si>
  <si>
    <t>Income Available for "Discretionary" Expenses</t>
  </si>
  <si>
    <t>Total "Dedicated" Expenses</t>
  </si>
  <si>
    <t>Total "Discretionary" Expenses</t>
  </si>
  <si>
    <t>(Total Saving / Investment)</t>
  </si>
  <si>
    <t>* Amounts should come from bottom of the Goal Cost Estimator.</t>
  </si>
  <si>
    <t>Special Needs Savings</t>
  </si>
  <si>
    <t>Emergency Fund Savings</t>
  </si>
  <si>
    <t>IRA and Pension Distributions</t>
  </si>
  <si>
    <t>Qualified Roth IRA Distributions</t>
  </si>
  <si>
    <t>Reinvestment of Capital Gains &amp; Dividends</t>
  </si>
  <si>
    <t>Employer-Sponsored Health Care Premiums</t>
  </si>
  <si>
    <t>Grants / Loans / Scholarships</t>
  </si>
  <si>
    <t>First Mortgage (Primary Residence)</t>
  </si>
  <si>
    <t>If "user defined" was choosen, enter new expenses</t>
  </si>
  <si>
    <t xml:space="preserve">Annual Anticipated Salary Growth Rate = </t>
  </si>
  <si>
    <t>Gross Estimated State Tax Liability</t>
  </si>
  <si>
    <t>Miscellaneous Tax Adjustments or Credits</t>
  </si>
  <si>
    <t>Net Estimated State Tax Liability</t>
  </si>
  <si>
    <t>Gross Life Insurance Need</t>
  </si>
  <si>
    <t>Total Present Value of Funds Needed</t>
  </si>
  <si>
    <t>In order to ensure that all of the following methods are consistently caluclated, please complete the following table of assuptions prior to beginning work on the individual approaches that follow.</t>
  </si>
  <si>
    <t>Projected inflation rate over survivor's life</t>
  </si>
  <si>
    <t>Assume start-of-year or end-of year payments</t>
  </si>
  <si>
    <t>Start</t>
  </si>
  <si>
    <t>End</t>
  </si>
  <si>
    <t>Years until survivor reached full retirement age</t>
  </si>
  <si>
    <t>Desired multiplier (suggested range: 5 - 20)</t>
  </si>
  <si>
    <t>Projected after-tax return of invested assets</t>
  </si>
  <si>
    <t>Continuing survivor income</t>
  </si>
  <si>
    <t>Desired income level of survivor</t>
  </si>
  <si>
    <t>Earned Income (before salary deduction)</t>
  </si>
  <si>
    <t>Total Income (before salary reduction)</t>
  </si>
  <si>
    <t>Potentially Taxable Income</t>
  </si>
  <si>
    <t>Total Potentially Taxable Income</t>
  </si>
  <si>
    <t>POTENTIALLY TAXABLE INCOME</t>
  </si>
  <si>
    <t>Adjusted Potentially Taxable Income</t>
  </si>
  <si>
    <t>(Total Taxes Estimated)</t>
  </si>
  <si>
    <t>* Can use estimates from the Income Tax Estimator.</t>
  </si>
  <si>
    <t>Wages, Salaries, and Tips</t>
  </si>
  <si>
    <t>TAXES PAYABLE</t>
  </si>
  <si>
    <t>Are you saving for this goal using tax-deferred accounts?</t>
  </si>
  <si>
    <t>These amounts should be entered in rows 43, 44, and/or 45 of the Dedicated Expense Sheet. Be careful not to double count the savings goal expense by entering the same amount for the client and co-client.</t>
  </si>
  <si>
    <t>Entertainment and Recreation (movies, etc.)</t>
  </si>
  <si>
    <t>Club Dues (health, music, sports, etc.)</t>
  </si>
  <si>
    <t>Personal (gas, maintenance, inspection, etc.)</t>
  </si>
  <si>
    <t>Personal (licensing, registration, etc.)</t>
  </si>
  <si>
    <t>Sec. 125 "Cafeteria Plan" Contribution</t>
  </si>
  <si>
    <t>Summary Net Worth Statement*</t>
  </si>
  <si>
    <t>*Includes 100% of all values listed above, regardless of ownership designation.</t>
  </si>
  <si>
    <t>Potentially Taxable Inccome</t>
  </si>
  <si>
    <t>*Estimation of social security tax does not include extra tax on self-employed.</t>
  </si>
  <si>
    <t xml:space="preserve">dividends. Alternative minimum tax is not estimated. </t>
  </si>
  <si>
    <t>*Estimate of income tax does not consider special tax rates, such as for capital gains and qualified</t>
  </si>
  <si>
    <t>Estimated Federal Taxable Income</t>
  </si>
  <si>
    <t>Estimated Federal Adjusted Gross Income</t>
  </si>
  <si>
    <t xml:space="preserve">Estimated State Taxable Income  </t>
  </si>
  <si>
    <t>Age to begin Soc. Sec. benefit</t>
  </si>
  <si>
    <t xml:space="preserve"> Soc. Sec. annual benefit</t>
  </si>
  <si>
    <t>Additional ssets to be irrevocably removed</t>
  </si>
  <si>
    <t>Adjusted taxable gifts</t>
  </si>
  <si>
    <t>Gift tax on adjusted taxable gifts</t>
  </si>
  <si>
    <t>Needs-Based Analysis: Additional Needed</t>
  </si>
  <si>
    <t>Additional Life Insurance Needed</t>
  </si>
  <si>
    <t>ADDITIONAL METHODS for ESTIMATING ADDITIONAL LIFE INSURANCE NEEDED</t>
  </si>
  <si>
    <t>Average Additional Life Insurance Needed</t>
  </si>
  <si>
    <t>Client's Additional L.I. Needed</t>
  </si>
  <si>
    <t>Co-client's Additional L.I. Needed</t>
  </si>
  <si>
    <t>Inflation-Adjusted Human-Life Value (HLV) Total</t>
  </si>
  <si>
    <t>Infaltion-Adjusted Capital Retention (CR) Total</t>
  </si>
  <si>
    <t>Inflation-Adjusted Income Retention (IR) Total</t>
  </si>
  <si>
    <t>*Needs offset only by current life insurance. Other assets and income may be available.</t>
  </si>
  <si>
    <t>Years Until Retirement of Survivor</t>
  </si>
  <si>
    <t>Earned Income (before salary reduction)</t>
  </si>
  <si>
    <t>Salary Reductions for Benefits*</t>
  </si>
  <si>
    <t>Adjusted Potentially Taxable Income*</t>
  </si>
  <si>
    <t>Total Income*</t>
  </si>
  <si>
    <t>Income Statement (Ded. Exp.*) Page</t>
  </si>
  <si>
    <t>Total Taxes Estimated</t>
  </si>
  <si>
    <t>Estimated Federal Tax</t>
  </si>
  <si>
    <t>Estimated State Tax</t>
  </si>
  <si>
    <t>Ave. Annual Return (Pre-ret)</t>
  </si>
  <si>
    <t>Ave. Annual Return (Post-ret)</t>
  </si>
  <si>
    <t>Total Expensess</t>
  </si>
  <si>
    <t>Portfolio Tax-Deferred Rate of Return</t>
  </si>
  <si>
    <t>Portfolio Average</t>
  </si>
  <si>
    <t>Portfolio Ave</t>
  </si>
  <si>
    <t>Start of College</t>
  </si>
  <si>
    <t xml:space="preserve">                                                   </t>
  </si>
  <si>
    <t xml:space="preserve">                                                                                                                                                                                                    </t>
  </si>
  <si>
    <t xml:space="preserve">                                                                                                                                                                                                                                                                                                                                                                                                                                                                                                                                                                                                                                                                                                                                                                                                                                                                                                                                                                                                                                                                                                                                                                                                                                                                                                                                                                                                                                                                                                                                                                                                                 </t>
  </si>
  <si>
    <t>&lt;$166,800.00</t>
  </si>
  <si>
    <t>&lt;$250,200.00</t>
  </si>
  <si>
    <t>&lt;$125,100.00</t>
  </si>
  <si>
    <t>&lt;$208,500.00</t>
  </si>
  <si>
    <t>2010 Tax Tables &amp; Information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</si>
</sst>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quot;$&quot;#,##0.00"/>
    <numFmt numFmtId="170" formatCode="&quot;$&quot;#,##0"/>
    <numFmt numFmtId="171" formatCode="&quot;$&quot;#,##0.00;[Red]&quot;$&quot;#,##0.00"/>
    <numFmt numFmtId="172" formatCode="&quot;$&quot;#,##0.0000"/>
    <numFmt numFmtId="173" formatCode="0.0%"/>
    <numFmt numFmtId="174" formatCode="&quot;$&quot;#,##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000\-00\-0000"/>
    <numFmt numFmtId="182" formatCode="[&lt;=9999999]###\-####;\(###\)\ ###\-####"/>
    <numFmt numFmtId="183" formatCode="[$-409]h:mm:ss\ AM/PM"/>
    <numFmt numFmtId="184" formatCode="00000"/>
    <numFmt numFmtId="185" formatCode="0.0000"/>
    <numFmt numFmtId="186" formatCode="0.0000%"/>
    <numFmt numFmtId="187" formatCode="&quot;$&quot;#,##0;[Red]&quot;$&quot;#,##0"/>
    <numFmt numFmtId="188" formatCode="\$#,##0"/>
  </numFmts>
  <fonts count="71">
    <font>
      <sz val="10"/>
      <name val="Arial"/>
      <family val="0"/>
    </font>
    <font>
      <b/>
      <sz val="18"/>
      <name val="Arial"/>
      <family val="0"/>
    </font>
    <font>
      <b/>
      <sz val="12"/>
      <name val="Arial"/>
      <family val="0"/>
    </font>
    <font>
      <sz val="8"/>
      <name val="Arial"/>
      <family val="0"/>
    </font>
    <font>
      <b/>
      <sz val="10"/>
      <name val="Arial"/>
      <family val="0"/>
    </font>
    <font>
      <i/>
      <sz val="10"/>
      <name val="Arial"/>
      <family val="0"/>
    </font>
    <font>
      <b/>
      <sz val="8"/>
      <name val="Arial"/>
      <family val="2"/>
    </font>
    <font>
      <b/>
      <sz val="10"/>
      <color indexed="10"/>
      <name val="Arial"/>
      <family val="2"/>
    </font>
    <font>
      <b/>
      <sz val="9"/>
      <name val="Arial"/>
      <family val="2"/>
    </font>
    <font>
      <sz val="9"/>
      <color indexed="10"/>
      <name val="Arial"/>
      <family val="2"/>
    </font>
    <font>
      <sz val="10"/>
      <color indexed="10"/>
      <name val="Arial"/>
      <family val="2"/>
    </font>
    <font>
      <sz val="10"/>
      <color indexed="9"/>
      <name val="Arial"/>
      <family val="0"/>
    </font>
    <font>
      <sz val="10"/>
      <color indexed="17"/>
      <name val="Arial"/>
      <family val="2"/>
    </font>
    <font>
      <sz val="9"/>
      <name val="Arial"/>
      <family val="0"/>
    </font>
    <font>
      <b/>
      <sz val="10"/>
      <color indexed="17"/>
      <name val="Arial"/>
      <family val="2"/>
    </font>
    <font>
      <b/>
      <sz val="9"/>
      <color indexed="8"/>
      <name val="Verdana"/>
      <family val="2"/>
    </font>
    <font>
      <sz val="9"/>
      <color indexed="8"/>
      <name val="Verdana"/>
      <family val="2"/>
    </font>
    <font>
      <sz val="10"/>
      <color indexed="12"/>
      <name val="Arial"/>
      <family val="2"/>
    </font>
    <font>
      <b/>
      <sz val="10"/>
      <color indexed="12"/>
      <name val="Arial"/>
      <family val="2"/>
    </font>
    <font>
      <sz val="8"/>
      <name val="Tahoma"/>
      <family val="0"/>
    </font>
    <font>
      <b/>
      <sz val="8"/>
      <name val="Tahoma"/>
      <family val="0"/>
    </font>
    <font>
      <strike/>
      <sz val="9"/>
      <color indexed="8"/>
      <name val="Verdana"/>
      <family val="2"/>
    </font>
    <font>
      <sz val="9"/>
      <name val="Verdana"/>
      <family val="2"/>
    </font>
    <font>
      <sz val="8"/>
      <color indexed="10"/>
      <name val="Arial"/>
      <family val="0"/>
    </font>
    <font>
      <b/>
      <sz val="8"/>
      <color indexed="10"/>
      <name val="Tahoma"/>
      <family val="2"/>
    </font>
    <font>
      <b/>
      <sz val="10"/>
      <color indexed="8"/>
      <name val="Arial"/>
      <family val="2"/>
    </font>
    <font>
      <sz val="10"/>
      <color indexed="8"/>
      <name val="Arial"/>
      <family val="2"/>
    </font>
    <font>
      <sz val="8.5"/>
      <color indexed="10"/>
      <name val="Arial"/>
      <family val="2"/>
    </font>
    <font>
      <i/>
      <sz val="10"/>
      <color indexed="10"/>
      <name val="Arial"/>
      <family val="2"/>
    </font>
    <font>
      <b/>
      <i/>
      <sz val="10"/>
      <color indexed="10"/>
      <name val="Arial"/>
      <family val="2"/>
    </font>
    <font>
      <u val="single"/>
      <sz val="10"/>
      <color indexed="12"/>
      <name val="Arial"/>
      <family val="0"/>
    </font>
    <font>
      <u val="single"/>
      <sz val="10"/>
      <color indexed="36"/>
      <name val="Arial"/>
      <family val="0"/>
    </font>
    <font>
      <b/>
      <sz val="11"/>
      <name val="Arial"/>
      <family val="2"/>
    </font>
    <font>
      <b/>
      <u val="single"/>
      <sz val="9"/>
      <color indexed="10"/>
      <name val="Arial"/>
      <family val="2"/>
    </font>
    <font>
      <sz val="8"/>
      <color indexed="9"/>
      <name val="Arial"/>
      <family val="0"/>
    </font>
    <font>
      <b/>
      <u val="single"/>
      <sz val="8"/>
      <name val="Tahoma"/>
      <family val="2"/>
    </font>
    <font>
      <sz val="10"/>
      <name val="Arial Unicode MS"/>
      <family val="0"/>
    </font>
    <font>
      <sz val="12"/>
      <color indexed="8"/>
      <name val="Arial"/>
      <family val="0"/>
    </font>
    <font>
      <sz val="8.25"/>
      <color indexed="9"/>
      <name val="Arial"/>
      <family val="0"/>
    </font>
    <font>
      <sz val="8"/>
      <color indexed="8"/>
      <name val="Arial"/>
      <family val="0"/>
    </font>
    <font>
      <sz val="7.35"/>
      <color indexed="8"/>
      <name val="Arial"/>
      <family val="0"/>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4"/>
      <color indexed="55"/>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indexed="54"/>
        <bgColor indexed="64"/>
      </patternFill>
    </fill>
    <fill>
      <patternFill patternType="solid">
        <fgColor indexed="51"/>
        <bgColor indexed="64"/>
      </patternFill>
    </fill>
    <fill>
      <patternFill patternType="solid">
        <fgColor indexed="46"/>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style="medium"/>
      <top>
        <color indexed="63"/>
      </top>
      <bottom>
        <color indexed="63"/>
      </bottom>
    </border>
    <border>
      <left style="medium"/>
      <right style="medium"/>
      <top style="double"/>
      <bottom>
        <color indexed="63"/>
      </bottom>
    </border>
    <border>
      <left style="medium"/>
      <right style="medium"/>
      <top>
        <color indexed="63"/>
      </top>
      <bottom style="double"/>
    </border>
    <border>
      <left style="medium"/>
      <right>
        <color indexed="63"/>
      </right>
      <top>
        <color indexed="63"/>
      </top>
      <bottom>
        <color indexed="63"/>
      </bottom>
    </border>
    <border>
      <left style="medium"/>
      <right style="medium"/>
      <top style="double"/>
      <bottom style="double"/>
    </border>
    <border>
      <left style="medium"/>
      <right style="medium"/>
      <top style="double"/>
      <bottom style="medium"/>
    </border>
    <border>
      <left>
        <color indexed="63"/>
      </left>
      <right>
        <color indexed="63"/>
      </right>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color indexed="63"/>
      </left>
      <right style="medium"/>
      <top>
        <color indexed="63"/>
      </top>
      <bottom style="double"/>
    </border>
    <border>
      <left>
        <color indexed="63"/>
      </left>
      <right style="medium"/>
      <top>
        <color indexed="63"/>
      </top>
      <bottom style="thin"/>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double"/>
    </border>
    <border>
      <left>
        <color indexed="63"/>
      </left>
      <right style="thin"/>
      <top>
        <color indexed="63"/>
      </top>
      <bottom style="double"/>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medium"/>
      <right>
        <color indexed="63"/>
      </right>
      <top>
        <color indexed="63"/>
      </top>
      <bottom style="thin"/>
    </border>
    <border>
      <left style="medium"/>
      <right style="medium"/>
      <top style="medium"/>
      <bottom style="medium"/>
    </border>
    <border>
      <left style="medium"/>
      <right style="medium"/>
      <top>
        <color indexed="63"/>
      </top>
      <bottom style="medium"/>
    </border>
    <border>
      <left style="thin">
        <color indexed="8"/>
      </left>
      <right>
        <color indexed="63"/>
      </right>
      <top style="thin">
        <color indexed="8"/>
      </top>
      <bottom style="thin"/>
    </border>
    <border>
      <left style="thin"/>
      <right style="medium"/>
      <top style="thin"/>
      <bottom style="thin"/>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color indexed="63"/>
      </right>
      <top style="double"/>
      <bottom style="medium"/>
    </border>
    <border>
      <left style="medium"/>
      <right style="medium"/>
      <top style="medium"/>
      <bottom>
        <color indexed="63"/>
      </bottom>
    </border>
    <border>
      <left style="medium"/>
      <right style="thin"/>
      <top style="thin"/>
      <bottom style="thin"/>
    </border>
    <border>
      <left style="thin">
        <color indexed="22"/>
      </left>
      <right style="thin"/>
      <top style="thin"/>
      <bottom style="thin"/>
    </border>
    <border>
      <left style="thin">
        <color indexed="22"/>
      </left>
      <right style="medium"/>
      <top style="thin"/>
      <bottom style="thin"/>
    </border>
    <border>
      <left style="thin">
        <color indexed="22"/>
      </left>
      <right style="thin"/>
      <top style="thin">
        <color indexed="22"/>
      </top>
      <bottom style="thin"/>
    </border>
    <border>
      <left style="thin">
        <color indexed="22"/>
      </left>
      <right style="thin"/>
      <top>
        <color indexed="63"/>
      </top>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medium"/>
      <right style="thin"/>
      <top style="thin">
        <color indexed="22"/>
      </top>
      <bottom style="thin"/>
    </border>
    <border>
      <left>
        <color indexed="63"/>
      </left>
      <right>
        <color indexed="63"/>
      </right>
      <top style="thin">
        <color indexed="22"/>
      </top>
      <bottom style="thin"/>
    </border>
    <border>
      <left>
        <color indexed="63"/>
      </left>
      <right style="medium"/>
      <top style="thin"/>
      <bottom style="medium"/>
    </border>
    <border>
      <left style="medium"/>
      <right style="thin"/>
      <top>
        <color indexed="63"/>
      </top>
      <bottom style="medium"/>
    </border>
    <border>
      <left>
        <color indexed="63"/>
      </left>
      <right style="thin"/>
      <top>
        <color indexed="63"/>
      </top>
      <bottom style="medium"/>
    </border>
    <border>
      <left style="medium"/>
      <right>
        <color indexed="63"/>
      </right>
      <top style="medium"/>
      <bottom style="double"/>
    </border>
    <border>
      <left style="thin"/>
      <right style="thin"/>
      <top style="thin">
        <color indexed="22"/>
      </top>
      <bottom style="thin"/>
    </border>
    <border>
      <left style="thin"/>
      <right style="thin"/>
      <top>
        <color indexed="63"/>
      </top>
      <bottom style="medium"/>
    </border>
    <border>
      <left style="thin"/>
      <right>
        <color indexed="63"/>
      </right>
      <top style="medium"/>
      <bottom style="medium"/>
    </border>
    <border>
      <left>
        <color indexed="63"/>
      </left>
      <right style="medium"/>
      <top style="thin">
        <color indexed="22"/>
      </top>
      <bottom style="thin"/>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diagonalUp="1">
      <left>
        <color indexed="63"/>
      </left>
      <right style="medium"/>
      <top style="medium"/>
      <bottom style="thin"/>
      <diagonal style="thin"/>
    </border>
    <border diagonalUp="1">
      <left>
        <color indexed="63"/>
      </left>
      <right style="medium"/>
      <top style="medium"/>
      <bottom style="medium"/>
      <diagonal style="thin"/>
    </border>
    <border>
      <left>
        <color indexed="63"/>
      </left>
      <right style="medium"/>
      <top style="thin"/>
      <bottom>
        <color indexed="63"/>
      </bottom>
    </border>
    <border diagonalUp="1">
      <left>
        <color indexed="63"/>
      </left>
      <right style="medium"/>
      <top style="thin"/>
      <bottom style="medium"/>
      <diagonal style="thin"/>
    </border>
    <border diagonalUp="1">
      <left>
        <color indexed="63"/>
      </left>
      <right style="medium"/>
      <top style="thin">
        <color indexed="22"/>
      </top>
      <bottom style="thin"/>
      <diagonal style="thin"/>
    </border>
    <border diagonalUp="1">
      <left>
        <color indexed="63"/>
      </left>
      <right style="medium"/>
      <top style="thin"/>
      <bottom style="thin"/>
      <diagonal style="thin"/>
    </border>
    <border diagonalUp="1">
      <left>
        <color indexed="63"/>
      </left>
      <right style="medium"/>
      <top>
        <color indexed="63"/>
      </top>
      <bottom style="medium"/>
      <diagonal style="thin"/>
    </border>
    <border>
      <left style="medium"/>
      <right style="medium"/>
      <top>
        <color indexed="63"/>
      </top>
      <bottom style="thin"/>
    </border>
    <border>
      <left style="medium"/>
      <right style="medium"/>
      <top style="thin">
        <color indexed="22"/>
      </top>
      <bottom style="thin"/>
    </border>
    <border>
      <left style="medium"/>
      <right style="medium"/>
      <top style="thin"/>
      <bottom style="thin"/>
    </border>
    <border diagonalUp="1">
      <left>
        <color indexed="63"/>
      </left>
      <right style="medium"/>
      <top>
        <color indexed="63"/>
      </top>
      <bottom style="thin"/>
      <diagonal style="thin"/>
    </border>
    <border diagonalUp="1">
      <left>
        <color indexed="63"/>
      </left>
      <right style="medium"/>
      <top style="thin"/>
      <bottom>
        <color indexed="63"/>
      </bottom>
      <diagonal style="thin"/>
    </border>
    <border>
      <left style="medium"/>
      <right style="medium"/>
      <top style="thin"/>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style="thin"/>
      <right style="medium"/>
      <top>
        <color indexed="63"/>
      </top>
      <bottom style="thin"/>
    </border>
    <border>
      <left style="medium"/>
      <right style="medium"/>
      <top style="medium"/>
      <bottom style="thin"/>
    </border>
    <border>
      <left style="thin"/>
      <right>
        <color indexed="63"/>
      </right>
      <top>
        <color indexed="63"/>
      </top>
      <bottom style="medium"/>
    </border>
    <border>
      <left style="medium"/>
      <right style="medium"/>
      <top style="medium"/>
      <bottom style="double"/>
    </border>
    <border>
      <left style="medium"/>
      <right style="medium"/>
      <top style="thin"/>
      <bottom style="double"/>
    </border>
    <border>
      <left style="thin"/>
      <right style="thin"/>
      <top style="medium"/>
      <bottom style="thin"/>
    </border>
    <border>
      <left>
        <color indexed="63"/>
      </left>
      <right>
        <color indexed="63"/>
      </right>
      <top style="medium"/>
      <bottom style="thin"/>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color indexed="63"/>
      </right>
      <top style="double"/>
      <bottom>
        <color indexed="63"/>
      </bottom>
    </border>
    <border>
      <left>
        <color indexed="63"/>
      </left>
      <right>
        <color indexed="63"/>
      </right>
      <top style="double"/>
      <bottom style="thin"/>
    </border>
    <border>
      <left style="thin"/>
      <right style="thin"/>
      <top style="double"/>
      <bottom style="thin"/>
    </border>
    <border>
      <left style="thin"/>
      <right style="medium"/>
      <top style="double"/>
      <bottom style="thin"/>
    </border>
    <border>
      <left style="thin"/>
      <right style="thin"/>
      <top>
        <color indexed="63"/>
      </top>
      <bottom style="double"/>
    </border>
    <border>
      <left style="thin"/>
      <right style="medium"/>
      <top>
        <color indexed="63"/>
      </top>
      <bottom>
        <color indexed="63"/>
      </bottom>
    </border>
    <border>
      <left>
        <color indexed="63"/>
      </left>
      <right style="thin"/>
      <top style="medium"/>
      <bottom style="medium"/>
    </border>
    <border>
      <left>
        <color indexed="63"/>
      </left>
      <right style="medium"/>
      <top style="double"/>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medium"/>
      <bottom style="thin"/>
    </border>
    <border>
      <left style="medium"/>
      <right>
        <color indexed="63"/>
      </right>
      <top style="double"/>
      <bottom style="thin"/>
    </border>
    <border>
      <left>
        <color indexed="63"/>
      </left>
      <right style="medium"/>
      <top style="double"/>
      <bottom style="thin"/>
    </border>
    <border>
      <left>
        <color indexed="63"/>
      </left>
      <right style="medium"/>
      <top style="double"/>
      <bottom style="medium"/>
    </border>
    <border>
      <left>
        <color indexed="63"/>
      </left>
      <right style="medium"/>
      <top style="medium"/>
      <bottom style="double"/>
    </border>
    <border>
      <left>
        <color indexed="63"/>
      </left>
      <right>
        <color indexed="63"/>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medium"/>
      <right style="thin"/>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31" fillId="0" borderId="0" applyNumberFormat="0" applyFill="0" applyBorder="0" applyAlignment="0" applyProtection="0"/>
    <xf numFmtId="0" fontId="6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4" fillId="0" borderId="3" applyNumberFormat="0" applyFill="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0" fillId="32" borderId="5" applyNumberFormat="0" applyFont="0" applyAlignment="0" applyProtection="0"/>
    <xf numFmtId="0" fontId="68" fillId="27" borderId="6" applyNumberFormat="0" applyAlignment="0" applyProtection="0"/>
    <xf numFmtId="10"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Fill="0" applyAlignment="0" applyProtection="0"/>
    <xf numFmtId="0" fontId="70" fillId="0" borderId="0" applyNumberFormat="0" applyFill="0" applyBorder="0" applyAlignment="0" applyProtection="0"/>
  </cellStyleXfs>
  <cellXfs count="1468">
    <xf numFmtId="0" fontId="0" fillId="0" borderId="0" xfId="0" applyAlignment="1">
      <alignment/>
    </xf>
    <xf numFmtId="170" fontId="8" fillId="0" borderId="8" xfId="0" applyNumberFormat="1" applyFont="1" applyBorder="1" applyAlignment="1" applyProtection="1">
      <alignment horizontal="center"/>
      <protection/>
    </xf>
    <xf numFmtId="170" fontId="0" fillId="0" borderId="8" xfId="0" applyNumberFormat="1" applyBorder="1" applyAlignment="1" applyProtection="1">
      <alignment/>
      <protection/>
    </xf>
    <xf numFmtId="170" fontId="0" fillId="0" borderId="8" xfId="0" applyNumberFormat="1" applyFill="1" applyBorder="1" applyAlignment="1" applyProtection="1">
      <alignment horizontal="center"/>
      <protection/>
    </xf>
    <xf numFmtId="170" fontId="0" fillId="0" borderId="9" xfId="0" applyNumberFormat="1" applyBorder="1" applyAlignment="1" applyProtection="1">
      <alignment/>
      <protection/>
    </xf>
    <xf numFmtId="170" fontId="4" fillId="0" borderId="8" xfId="0" applyNumberFormat="1" applyFont="1" applyFill="1" applyBorder="1" applyAlignment="1" applyProtection="1">
      <alignment horizontal="center"/>
      <protection/>
    </xf>
    <xf numFmtId="170" fontId="0" fillId="0" borderId="10" xfId="0" applyNumberFormat="1" applyFill="1" applyBorder="1" applyAlignment="1" applyProtection="1">
      <alignment horizontal="center"/>
      <protection/>
    </xf>
    <xf numFmtId="170" fontId="0" fillId="0" borderId="8" xfId="0" applyNumberFormat="1" applyFill="1"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horizontal="center"/>
      <protection/>
    </xf>
    <xf numFmtId="0" fontId="4" fillId="0" borderId="0" xfId="0" applyFont="1" applyAlignment="1" applyProtection="1">
      <alignment/>
      <protection/>
    </xf>
    <xf numFmtId="170" fontId="0" fillId="0" borderId="0" xfId="0" applyNumberFormat="1" applyBorder="1" applyAlignment="1" applyProtection="1">
      <alignment/>
      <protection/>
    </xf>
    <xf numFmtId="170" fontId="0" fillId="0" borderId="0" xfId="0" applyNumberFormat="1" applyBorder="1" applyAlignment="1" applyProtection="1">
      <alignment horizontal="right"/>
      <protection/>
    </xf>
    <xf numFmtId="0" fontId="0" fillId="0" borderId="0" xfId="0" applyNumberFormat="1" applyFill="1" applyBorder="1" applyAlignment="1" applyProtection="1">
      <alignment/>
      <protection/>
    </xf>
    <xf numFmtId="170" fontId="0" fillId="0" borderId="12" xfId="0" applyNumberFormat="1" applyFill="1" applyBorder="1" applyAlignment="1" applyProtection="1">
      <alignment horizontal="center"/>
      <protection/>
    </xf>
    <xf numFmtId="170" fontId="7" fillId="0" borderId="13" xfId="0" applyNumberFormat="1" applyFont="1" applyFill="1" applyBorder="1" applyAlignment="1" applyProtection="1">
      <alignment horizontal="center"/>
      <protection/>
    </xf>
    <xf numFmtId="170" fontId="4" fillId="0" borderId="8" xfId="0" applyNumberFormat="1" applyFont="1" applyFill="1" applyBorder="1" applyAlignment="1" applyProtection="1">
      <alignment horizontal="center"/>
      <protection/>
    </xf>
    <xf numFmtId="170" fontId="7" fillId="0" borderId="12" xfId="0" applyNumberFormat="1" applyFont="1" applyFill="1" applyBorder="1" applyAlignment="1" applyProtection="1">
      <alignment horizontal="center"/>
      <protection/>
    </xf>
    <xf numFmtId="0" fontId="4" fillId="0" borderId="0" xfId="0" applyFont="1" applyBorder="1" applyAlignment="1" applyProtection="1">
      <alignment horizontal="left"/>
      <protection/>
    </xf>
    <xf numFmtId="0" fontId="4" fillId="0" borderId="11" xfId="0" applyFont="1" applyBorder="1" applyAlignment="1" applyProtection="1">
      <alignment horizontal="right"/>
      <protection/>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0" fontId="4" fillId="0" borderId="15" xfId="0" applyFont="1" applyBorder="1" applyAlignment="1" applyProtection="1">
      <alignment/>
      <protection/>
    </xf>
    <xf numFmtId="0" fontId="4" fillId="0" borderId="16" xfId="0" applyFont="1" applyBorder="1" applyAlignment="1" applyProtection="1">
      <alignment horizontal="left"/>
      <protection/>
    </xf>
    <xf numFmtId="0" fontId="0" fillId="0" borderId="17" xfId="0" applyBorder="1" applyAlignment="1" applyProtection="1">
      <alignment/>
      <protection/>
    </xf>
    <xf numFmtId="0" fontId="0" fillId="0" borderId="17" xfId="0" applyBorder="1" applyAlignment="1" applyProtection="1">
      <alignment horizontal="center"/>
      <protection/>
    </xf>
    <xf numFmtId="170" fontId="0" fillId="0" borderId="17" xfId="0" applyNumberForma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7" fillId="0" borderId="19" xfId="0" applyFont="1" applyBorder="1" applyAlignment="1" applyProtection="1">
      <alignment horizontal="right"/>
      <protection/>
    </xf>
    <xf numFmtId="0" fontId="0" fillId="0" borderId="20" xfId="0"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170" fontId="4" fillId="0" borderId="0" xfId="0" applyNumberFormat="1" applyFont="1" applyBorder="1" applyAlignment="1" applyProtection="1">
      <alignment/>
      <protection/>
    </xf>
    <xf numFmtId="170" fontId="4" fillId="0" borderId="0" xfId="0" applyNumberFormat="1" applyFont="1" applyBorder="1" applyAlignment="1" applyProtection="1">
      <alignment horizontal="right"/>
      <protection/>
    </xf>
    <xf numFmtId="0" fontId="9" fillId="0" borderId="0" xfId="0" applyFont="1" applyBorder="1" applyAlignment="1" applyProtection="1">
      <alignment horizontal="left"/>
      <protection/>
    </xf>
    <xf numFmtId="0" fontId="5" fillId="0" borderId="0"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4" fillId="0" borderId="16" xfId="0" applyFont="1" applyBorder="1" applyAlignment="1" applyProtection="1">
      <alignment/>
      <protection/>
    </xf>
    <xf numFmtId="0" fontId="4" fillId="0" borderId="16" xfId="0" applyFont="1" applyBorder="1" applyAlignment="1" applyProtection="1">
      <alignment horizontal="center"/>
      <protection/>
    </xf>
    <xf numFmtId="0" fontId="4" fillId="0" borderId="16" xfId="0" applyFont="1" applyBorder="1" applyAlignment="1" applyProtection="1">
      <alignment horizontal="right"/>
      <protection/>
    </xf>
    <xf numFmtId="0" fontId="9" fillId="0" borderId="0" xfId="0" applyFont="1" applyBorder="1" applyAlignment="1" applyProtection="1">
      <alignment/>
      <protection/>
    </xf>
    <xf numFmtId="169" fontId="0" fillId="0" borderId="0" xfId="0" applyNumberFormat="1" applyFill="1" applyBorder="1" applyAlignment="1" applyProtection="1">
      <alignment horizontal="center"/>
      <protection/>
    </xf>
    <xf numFmtId="0" fontId="0" fillId="0" borderId="16" xfId="0" applyBorder="1" applyAlignment="1" applyProtection="1">
      <alignment/>
      <protection/>
    </xf>
    <xf numFmtId="0" fontId="6" fillId="0" borderId="16" xfId="0" applyFont="1" applyBorder="1" applyAlignment="1" applyProtection="1">
      <alignment horizontal="center"/>
      <protection/>
    </xf>
    <xf numFmtId="169" fontId="0" fillId="0" borderId="16" xfId="0" applyNumberFormat="1" applyFill="1" applyBorder="1" applyAlignment="1" applyProtection="1">
      <alignment horizontal="center"/>
      <protection/>
    </xf>
    <xf numFmtId="0" fontId="4" fillId="0" borderId="23" xfId="0" applyFont="1" applyBorder="1" applyAlignment="1" applyProtection="1">
      <alignment/>
      <protection/>
    </xf>
    <xf numFmtId="170" fontId="0" fillId="0" borderId="0" xfId="0" applyNumberFormat="1" applyAlignment="1" applyProtection="1">
      <alignment/>
      <protection/>
    </xf>
    <xf numFmtId="169" fontId="0" fillId="0" borderId="20" xfId="0" applyNumberFormat="1" applyBorder="1" applyAlignment="1" applyProtection="1">
      <alignment/>
      <protection/>
    </xf>
    <xf numFmtId="169" fontId="0" fillId="0" borderId="17" xfId="0" applyNumberFormat="1" applyBorder="1" applyAlignment="1" applyProtection="1">
      <alignment/>
      <protection/>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7" xfId="0" applyFont="1" applyBorder="1" applyAlignment="1" applyProtection="1">
      <alignment horizontal="center"/>
      <protection/>
    </xf>
    <xf numFmtId="0" fontId="0" fillId="0" borderId="0" xfId="0" applyBorder="1" applyAlignment="1" applyProtection="1">
      <alignment horizontal="right"/>
      <protection/>
    </xf>
    <xf numFmtId="0" fontId="0" fillId="0" borderId="0" xfId="0" applyFill="1" applyBorder="1" applyAlignment="1" applyProtection="1">
      <alignment horizontal="right"/>
      <protection/>
    </xf>
    <xf numFmtId="0" fontId="11" fillId="0" borderId="0" xfId="0" applyFont="1" applyBorder="1" applyAlignment="1" applyProtection="1">
      <alignment/>
      <protection hidden="1"/>
    </xf>
    <xf numFmtId="10" fontId="0" fillId="0" borderId="17" xfId="0" applyNumberFormat="1" applyBorder="1" applyAlignment="1" applyProtection="1">
      <alignment/>
      <protection/>
    </xf>
    <xf numFmtId="0" fontId="12" fillId="0" borderId="11" xfId="0" applyFont="1" applyBorder="1" applyAlignment="1" applyProtection="1">
      <alignment horizontal="left"/>
      <protection/>
    </xf>
    <xf numFmtId="0" fontId="12" fillId="0" borderId="11" xfId="0" applyFont="1" applyBorder="1" applyAlignment="1" applyProtection="1">
      <alignment/>
      <protection/>
    </xf>
    <xf numFmtId="169" fontId="14" fillId="0" borderId="19" xfId="0" applyNumberFormat="1" applyFont="1" applyBorder="1" applyAlignment="1" applyProtection="1">
      <alignment/>
      <protection/>
    </xf>
    <xf numFmtId="0" fontId="14" fillId="0" borderId="19" xfId="0" applyFont="1" applyBorder="1" applyAlignment="1" applyProtection="1">
      <alignment horizontal="left"/>
      <protection/>
    </xf>
    <xf numFmtId="169" fontId="0" fillId="0" borderId="0" xfId="0" applyNumberFormat="1" applyAlignment="1" applyProtection="1">
      <alignment/>
      <protection/>
    </xf>
    <xf numFmtId="0" fontId="0" fillId="0" borderId="24" xfId="0" applyBorder="1" applyAlignment="1" applyProtection="1">
      <alignment/>
      <protection/>
    </xf>
    <xf numFmtId="0" fontId="4" fillId="0" borderId="24" xfId="0" applyFont="1" applyBorder="1" applyAlignment="1" applyProtection="1">
      <alignment horizontal="right"/>
      <protection/>
    </xf>
    <xf numFmtId="0" fontId="0" fillId="0" borderId="25" xfId="0" applyBorder="1" applyAlignment="1" applyProtection="1">
      <alignment/>
      <protection/>
    </xf>
    <xf numFmtId="169" fontId="0" fillId="0" borderId="26" xfId="0" applyNumberFormat="1" applyBorder="1" applyAlignment="1" applyProtection="1">
      <alignment/>
      <protection/>
    </xf>
    <xf numFmtId="0" fontId="0" fillId="0" borderId="0" xfId="0" applyBorder="1" applyAlignment="1" applyProtection="1">
      <alignment horizontal="center"/>
      <protection/>
    </xf>
    <xf numFmtId="169" fontId="0" fillId="0" borderId="0" xfId="0" applyNumberFormat="1" applyBorder="1" applyAlignment="1" applyProtection="1">
      <alignment horizontal="right"/>
      <protection/>
    </xf>
    <xf numFmtId="10" fontId="0" fillId="0" borderId="0" xfId="0" applyNumberFormat="1" applyBorder="1" applyAlignment="1" applyProtection="1">
      <alignment/>
      <protection/>
    </xf>
    <xf numFmtId="0" fontId="7" fillId="0" borderId="0" xfId="0" applyFont="1" applyBorder="1" applyAlignment="1" applyProtection="1">
      <alignment horizontal="right"/>
      <protection/>
    </xf>
    <xf numFmtId="0" fontId="14" fillId="0" borderId="0" xfId="0" applyFont="1" applyBorder="1" applyAlignment="1" applyProtection="1">
      <alignment horizontal="left"/>
      <protection/>
    </xf>
    <xf numFmtId="169" fontId="0" fillId="0" borderId="0" xfId="0" applyNumberFormat="1" applyBorder="1" applyAlignment="1" applyProtection="1">
      <alignment/>
      <protection/>
    </xf>
    <xf numFmtId="169" fontId="0" fillId="0" borderId="27" xfId="0" applyNumberFormat="1" applyBorder="1" applyAlignment="1" applyProtection="1">
      <alignment/>
      <protection/>
    </xf>
    <xf numFmtId="0" fontId="13" fillId="0" borderId="0" xfId="0" applyFont="1" applyBorder="1" applyAlignment="1" applyProtection="1">
      <alignment wrapText="1"/>
      <protection/>
    </xf>
    <xf numFmtId="169" fontId="0" fillId="0" borderId="19" xfId="0" applyNumberFormat="1" applyBorder="1" applyAlignment="1" applyProtection="1">
      <alignment/>
      <protection/>
    </xf>
    <xf numFmtId="169" fontId="0" fillId="0" borderId="0" xfId="0" applyNumberFormat="1" applyBorder="1" applyAlignment="1" applyProtection="1">
      <alignment horizontal="center"/>
      <protection/>
    </xf>
    <xf numFmtId="0" fontId="4" fillId="0" borderId="0" xfId="0" applyFont="1" applyBorder="1" applyAlignment="1" applyProtection="1">
      <alignment/>
      <protection/>
    </xf>
    <xf numFmtId="170" fontId="0" fillId="0" borderId="25" xfId="0" applyNumberFormat="1" applyFill="1" applyBorder="1" applyAlignment="1" applyProtection="1">
      <alignment horizontal="right"/>
      <protection/>
    </xf>
    <xf numFmtId="170" fontId="0" fillId="0" borderId="25" xfId="45" applyNumberFormat="1" applyFont="1" applyFill="1" applyBorder="1" applyAlignment="1" applyProtection="1">
      <alignment horizontal="right"/>
      <protection/>
    </xf>
    <xf numFmtId="0" fontId="0" fillId="0" borderId="28" xfId="0" applyBorder="1" applyAlignment="1" applyProtection="1">
      <alignment/>
      <protection/>
    </xf>
    <xf numFmtId="170" fontId="0" fillId="0" borderId="29" xfId="45" applyNumberFormat="1" applyFont="1" applyFill="1" applyBorder="1" applyAlignment="1" applyProtection="1">
      <alignment horizontal="right"/>
      <protection/>
    </xf>
    <xf numFmtId="170" fontId="0" fillId="0" borderId="30" xfId="45" applyNumberFormat="1" applyFont="1" applyFill="1" applyBorder="1" applyAlignment="1" applyProtection="1">
      <alignment horizontal="right"/>
      <protection/>
    </xf>
    <xf numFmtId="0" fontId="9" fillId="0" borderId="21" xfId="0" applyFont="1" applyBorder="1" applyAlignment="1" applyProtection="1">
      <alignment horizontal="left"/>
      <protection/>
    </xf>
    <xf numFmtId="170" fontId="0" fillId="0" borderId="22" xfId="45" applyNumberFormat="1" applyFont="1" applyFill="1" applyBorder="1" applyAlignment="1" applyProtection="1">
      <alignment horizontal="right"/>
      <protection/>
    </xf>
    <xf numFmtId="0" fontId="0" fillId="0" borderId="31" xfId="0" applyBorder="1" applyAlignment="1" applyProtection="1">
      <alignment/>
      <protection/>
    </xf>
    <xf numFmtId="0" fontId="0" fillId="0" borderId="0" xfId="0" applyFont="1" applyBorder="1" applyAlignment="1" applyProtection="1">
      <alignment/>
      <protection/>
    </xf>
    <xf numFmtId="170" fontId="0" fillId="0" borderId="22" xfId="0" applyNumberFormat="1" applyBorder="1" applyAlignment="1" applyProtection="1">
      <alignment horizontal="right"/>
      <protection/>
    </xf>
    <xf numFmtId="164" fontId="0" fillId="0" borderId="0" xfId="45" applyNumberFormat="1" applyFont="1" applyBorder="1" applyAlignment="1" applyProtection="1">
      <alignment/>
      <protection/>
    </xf>
    <xf numFmtId="0" fontId="0" fillId="0" borderId="22" xfId="0" applyBorder="1" applyAlignment="1" applyProtection="1">
      <alignment horizontal="right"/>
      <protection/>
    </xf>
    <xf numFmtId="164" fontId="0" fillId="0" borderId="22" xfId="45" applyNumberFormat="1" applyFont="1" applyBorder="1" applyAlignment="1" applyProtection="1">
      <alignment horizontal="right"/>
      <protection/>
    </xf>
    <xf numFmtId="164" fontId="0" fillId="0" borderId="0" xfId="45" applyNumberFormat="1" applyFont="1" applyBorder="1" applyAlignment="1" applyProtection="1">
      <alignment horizontal="right"/>
      <protection/>
    </xf>
    <xf numFmtId="164" fontId="0" fillId="0" borderId="17" xfId="0" applyNumberFormat="1" applyBorder="1" applyAlignment="1" applyProtection="1">
      <alignment/>
      <protection/>
    </xf>
    <xf numFmtId="0" fontId="4" fillId="0" borderId="11" xfId="0" applyFont="1" applyBorder="1" applyAlignment="1" applyProtection="1">
      <alignment/>
      <protection/>
    </xf>
    <xf numFmtId="170" fontId="10" fillId="0" borderId="0" xfId="0" applyNumberFormat="1" applyFont="1" applyBorder="1" applyAlignment="1" applyProtection="1">
      <alignment horizontal="right"/>
      <protection/>
    </xf>
    <xf numFmtId="170" fontId="10" fillId="0" borderId="0" xfId="45" applyNumberFormat="1" applyFont="1" applyBorder="1" applyAlignment="1" applyProtection="1">
      <alignment horizontal="right"/>
      <protection/>
    </xf>
    <xf numFmtId="164" fontId="11" fillId="0" borderId="17" xfId="0" applyNumberFormat="1" applyFont="1" applyBorder="1" applyAlignment="1" applyProtection="1">
      <alignment/>
      <protection/>
    </xf>
    <xf numFmtId="164" fontId="0" fillId="0" borderId="19" xfId="45" applyNumberFormat="1" applyFont="1" applyBorder="1" applyAlignment="1" applyProtection="1">
      <alignment/>
      <protection/>
    </xf>
    <xf numFmtId="169" fontId="0" fillId="0" borderId="0" xfId="0" applyNumberFormat="1" applyFill="1" applyBorder="1" applyAlignment="1" applyProtection="1">
      <alignment/>
      <protection/>
    </xf>
    <xf numFmtId="0" fontId="0" fillId="0" borderId="11" xfId="0" applyBorder="1" applyAlignment="1" applyProtection="1">
      <alignment horizontal="right"/>
      <protection/>
    </xf>
    <xf numFmtId="0" fontId="0" fillId="0" borderId="32" xfId="0" applyBorder="1" applyAlignment="1" applyProtection="1">
      <alignment/>
      <protection/>
    </xf>
    <xf numFmtId="0" fontId="9" fillId="0" borderId="0" xfId="0" applyNumberFormat="1" applyFont="1" applyBorder="1" applyAlignment="1" applyProtection="1">
      <alignment/>
      <protection/>
    </xf>
    <xf numFmtId="0" fontId="4" fillId="0" borderId="0" xfId="0" applyFont="1" applyFill="1" applyBorder="1" applyAlignment="1" applyProtection="1">
      <alignment horizontal="center"/>
      <protection/>
    </xf>
    <xf numFmtId="0" fontId="0" fillId="0" borderId="33" xfId="0" applyBorder="1" applyAlignment="1" applyProtection="1">
      <alignment/>
      <protection/>
    </xf>
    <xf numFmtId="10" fontId="0" fillId="0" borderId="27" xfId="0" applyNumberFormat="1" applyBorder="1" applyAlignment="1" applyProtection="1">
      <alignment/>
      <protection/>
    </xf>
    <xf numFmtId="0" fontId="4" fillId="0" borderId="34" xfId="0" applyNumberFormat="1" applyFont="1" applyBorder="1" applyAlignment="1" applyProtection="1">
      <alignment horizontal="center"/>
      <protection/>
    </xf>
    <xf numFmtId="0" fontId="0" fillId="0" borderId="35" xfId="0" applyBorder="1" applyAlignment="1" applyProtection="1">
      <alignment/>
      <protection/>
    </xf>
    <xf numFmtId="10" fontId="0" fillId="0" borderId="0" xfId="0" applyNumberFormat="1" applyBorder="1" applyAlignment="1" applyProtection="1">
      <alignment horizontal="center"/>
      <protection/>
    </xf>
    <xf numFmtId="0" fontId="0" fillId="0" borderId="0" xfId="0" applyNumberFormat="1" applyBorder="1" applyAlignment="1" applyProtection="1">
      <alignment horizontal="center"/>
      <protection/>
    </xf>
    <xf numFmtId="169" fontId="4" fillId="0" borderId="36" xfId="0" applyNumberFormat="1" applyFont="1" applyBorder="1" applyAlignment="1" applyProtection="1">
      <alignment/>
      <protection/>
    </xf>
    <xf numFmtId="169" fontId="0" fillId="0" borderId="37" xfId="0" applyNumberFormat="1" applyBorder="1" applyAlignment="1" applyProtection="1">
      <alignment/>
      <protection/>
    </xf>
    <xf numFmtId="169" fontId="4" fillId="0" borderId="38" xfId="0" applyNumberFormat="1" applyFont="1" applyBorder="1" applyAlignment="1" applyProtection="1">
      <alignment/>
      <protection/>
    </xf>
    <xf numFmtId="169" fontId="0" fillId="0" borderId="39" xfId="0" applyNumberFormat="1" applyBorder="1" applyAlignment="1" applyProtection="1">
      <alignment/>
      <protection/>
    </xf>
    <xf numFmtId="169" fontId="0" fillId="0" borderId="40" xfId="0" applyNumberFormat="1" applyBorder="1" applyAlignment="1" applyProtection="1">
      <alignment horizontal="center"/>
      <protection/>
    </xf>
    <xf numFmtId="169" fontId="0" fillId="0" borderId="28" xfId="0" applyNumberFormat="1" applyBorder="1" applyAlignment="1" applyProtection="1">
      <alignment horizontal="center"/>
      <protection/>
    </xf>
    <xf numFmtId="169" fontId="0" fillId="0" borderId="40" xfId="0" applyNumberFormat="1" applyBorder="1" applyAlignment="1" applyProtection="1">
      <alignment/>
      <protection/>
    </xf>
    <xf numFmtId="169" fontId="0" fillId="0" borderId="41" xfId="0" applyNumberFormat="1" applyBorder="1" applyAlignment="1" applyProtection="1">
      <alignment horizontal="right"/>
      <protection/>
    </xf>
    <xf numFmtId="169" fontId="0" fillId="0" borderId="42" xfId="0" applyNumberFormat="1" applyBorder="1" applyAlignment="1" applyProtection="1">
      <alignment/>
      <protection/>
    </xf>
    <xf numFmtId="169" fontId="0" fillId="0" borderId="43" xfId="0" applyNumberFormat="1" applyBorder="1" applyAlignment="1" applyProtection="1">
      <alignment/>
      <protection/>
    </xf>
    <xf numFmtId="0" fontId="0" fillId="0" borderId="36" xfId="0" applyNumberFormat="1" applyBorder="1" applyAlignment="1" applyProtection="1">
      <alignment horizontal="center"/>
      <protection/>
    </xf>
    <xf numFmtId="169" fontId="0" fillId="0" borderId="44" xfId="0" applyNumberFormat="1" applyBorder="1" applyAlignment="1" applyProtection="1">
      <alignment/>
      <protection/>
    </xf>
    <xf numFmtId="0" fontId="0" fillId="0" borderId="42" xfId="0" applyNumberFormat="1" applyBorder="1" applyAlignment="1" applyProtection="1">
      <alignment horizontal="center"/>
      <protection/>
    </xf>
    <xf numFmtId="169" fontId="0" fillId="0" borderId="45" xfId="0" applyNumberFormat="1" applyBorder="1" applyAlignment="1" applyProtection="1">
      <alignment/>
      <protection/>
    </xf>
    <xf numFmtId="169" fontId="0" fillId="0" borderId="28" xfId="0" applyNumberFormat="1" applyBorder="1" applyAlignment="1" applyProtection="1">
      <alignment/>
      <protection/>
    </xf>
    <xf numFmtId="0" fontId="0" fillId="0" borderId="40" xfId="0" applyNumberFormat="1" applyBorder="1" applyAlignment="1" applyProtection="1">
      <alignment horizontal="center"/>
      <protection/>
    </xf>
    <xf numFmtId="169" fontId="0" fillId="0" borderId="46" xfId="0" applyNumberFormat="1" applyBorder="1" applyAlignment="1" applyProtection="1">
      <alignment/>
      <protection/>
    </xf>
    <xf numFmtId="169" fontId="0" fillId="0" borderId="36" xfId="0" applyNumberFormat="1" applyBorder="1" applyAlignment="1" applyProtection="1">
      <alignment/>
      <protection/>
    </xf>
    <xf numFmtId="0" fontId="0" fillId="0" borderId="44" xfId="0" applyNumberFormat="1" applyBorder="1" applyAlignment="1" applyProtection="1">
      <alignment horizontal="center"/>
      <protection/>
    </xf>
    <xf numFmtId="0" fontId="0" fillId="0" borderId="45" xfId="0" applyNumberFormat="1" applyBorder="1" applyAlignment="1" applyProtection="1">
      <alignment horizontal="center"/>
      <protection/>
    </xf>
    <xf numFmtId="169" fontId="0" fillId="0" borderId="47" xfId="0" applyNumberFormat="1" applyBorder="1" applyAlignment="1" applyProtection="1">
      <alignment/>
      <protection/>
    </xf>
    <xf numFmtId="0" fontId="0" fillId="0" borderId="46" xfId="0" applyNumberFormat="1" applyBorder="1" applyAlignment="1" applyProtection="1">
      <alignment horizontal="center"/>
      <protection/>
    </xf>
    <xf numFmtId="169" fontId="0" fillId="0" borderId="41" xfId="0" applyNumberFormat="1" applyBorder="1" applyAlignment="1" applyProtection="1">
      <alignment/>
      <protection/>
    </xf>
    <xf numFmtId="10" fontId="0" fillId="0" borderId="0" xfId="0" applyNumberFormat="1" applyAlignment="1" applyProtection="1">
      <alignment/>
      <protection/>
    </xf>
    <xf numFmtId="169" fontId="0" fillId="0" borderId="48" xfId="0" applyNumberFormat="1" applyBorder="1" applyAlignment="1" applyProtection="1">
      <alignment/>
      <protection/>
    </xf>
    <xf numFmtId="10" fontId="0" fillId="0" borderId="49" xfId="0" applyNumberFormat="1" applyBorder="1" applyAlignment="1" applyProtection="1">
      <alignment horizontal="center"/>
      <protection/>
    </xf>
    <xf numFmtId="169" fontId="0" fillId="0" borderId="50" xfId="0" applyNumberFormat="1" applyBorder="1" applyAlignment="1" applyProtection="1">
      <alignment/>
      <protection/>
    </xf>
    <xf numFmtId="10" fontId="0" fillId="0" borderId="51" xfId="0" applyNumberFormat="1" applyBorder="1" applyAlignment="1" applyProtection="1">
      <alignment horizontal="center"/>
      <protection/>
    </xf>
    <xf numFmtId="10" fontId="0" fillId="0" borderId="45" xfId="0" applyNumberFormat="1" applyBorder="1" applyAlignment="1" applyProtection="1">
      <alignment horizontal="center"/>
      <protection/>
    </xf>
    <xf numFmtId="10" fontId="0" fillId="0" borderId="28" xfId="0" applyNumberFormat="1" applyBorder="1" applyAlignment="1" applyProtection="1">
      <alignment horizontal="center"/>
      <protection/>
    </xf>
    <xf numFmtId="10" fontId="0" fillId="0" borderId="46" xfId="0" applyNumberFormat="1" applyBorder="1" applyAlignment="1" applyProtection="1">
      <alignment/>
      <protection/>
    </xf>
    <xf numFmtId="10" fontId="0" fillId="0" borderId="19" xfId="0" applyNumberFormat="1" applyBorder="1" applyAlignment="1" applyProtection="1">
      <alignment/>
      <protection/>
    </xf>
    <xf numFmtId="0" fontId="0" fillId="0" borderId="24" xfId="0" applyBorder="1" applyAlignment="1">
      <alignment/>
    </xf>
    <xf numFmtId="169" fontId="0" fillId="0" borderId="25" xfId="0" applyNumberFormat="1" applyBorder="1" applyAlignment="1">
      <alignment/>
    </xf>
    <xf numFmtId="10" fontId="0" fillId="0" borderId="25" xfId="0" applyNumberFormat="1" applyBorder="1" applyAlignment="1">
      <alignment/>
    </xf>
    <xf numFmtId="169" fontId="0" fillId="0" borderId="25" xfId="0" applyNumberFormat="1" applyBorder="1" applyAlignment="1">
      <alignment horizontal="center"/>
    </xf>
    <xf numFmtId="169" fontId="0" fillId="0" borderId="26" xfId="0" applyNumberFormat="1" applyBorder="1" applyAlignment="1">
      <alignment horizontal="center"/>
    </xf>
    <xf numFmtId="169" fontId="0" fillId="0" borderId="0" xfId="0" applyNumberFormat="1" applyAlignment="1">
      <alignment horizontal="center"/>
    </xf>
    <xf numFmtId="0" fontId="0" fillId="0" borderId="11" xfId="0" applyBorder="1" applyAlignment="1">
      <alignment/>
    </xf>
    <xf numFmtId="169" fontId="0" fillId="0" borderId="0" xfId="0" applyNumberFormat="1" applyBorder="1" applyAlignment="1">
      <alignment/>
    </xf>
    <xf numFmtId="0" fontId="0" fillId="0" borderId="0" xfId="0" applyNumberFormat="1" applyFill="1" applyBorder="1" applyAlignment="1">
      <alignment horizontal="center"/>
    </xf>
    <xf numFmtId="169" fontId="0" fillId="0" borderId="0" xfId="0" applyNumberFormat="1" applyBorder="1" applyAlignment="1">
      <alignment horizontal="left"/>
    </xf>
    <xf numFmtId="169" fontId="0" fillId="0" borderId="17" xfId="0" applyNumberFormat="1" applyFill="1" applyBorder="1" applyAlignment="1">
      <alignment horizontal="center"/>
    </xf>
    <xf numFmtId="169" fontId="0" fillId="0" borderId="11" xfId="0" applyNumberFormat="1" applyBorder="1" applyAlignment="1">
      <alignment horizontal="left"/>
    </xf>
    <xf numFmtId="169" fontId="7" fillId="0" borderId="17" xfId="0" applyNumberFormat="1" applyFont="1" applyFill="1" applyBorder="1" applyAlignment="1">
      <alignment horizontal="center"/>
    </xf>
    <xf numFmtId="169" fontId="0" fillId="0" borderId="0" xfId="0" applyNumberFormat="1" applyFill="1" applyBorder="1" applyAlignment="1">
      <alignment horizontal="center"/>
    </xf>
    <xf numFmtId="0" fontId="0" fillId="0" borderId="17" xfId="0" applyNumberFormat="1" applyFill="1" applyBorder="1" applyAlignment="1">
      <alignment horizontal="center"/>
    </xf>
    <xf numFmtId="10" fontId="0" fillId="0" borderId="0" xfId="0" applyNumberFormat="1" applyBorder="1" applyAlignment="1">
      <alignment/>
    </xf>
    <xf numFmtId="169" fontId="0" fillId="0" borderId="0" xfId="0" applyNumberFormat="1" applyBorder="1" applyAlignment="1">
      <alignment horizontal="center"/>
    </xf>
    <xf numFmtId="169" fontId="11" fillId="0" borderId="17" xfId="0" applyNumberFormat="1" applyFont="1" applyBorder="1" applyAlignment="1">
      <alignment horizontal="center"/>
    </xf>
    <xf numFmtId="169" fontId="0" fillId="0" borderId="0" xfId="0" applyNumberFormat="1" applyBorder="1" applyAlignment="1">
      <alignment horizontal="right"/>
    </xf>
    <xf numFmtId="0" fontId="0" fillId="0" borderId="18" xfId="0" applyBorder="1" applyAlignment="1">
      <alignment/>
    </xf>
    <xf numFmtId="169" fontId="0" fillId="0" borderId="19" xfId="0" applyNumberFormat="1" applyBorder="1" applyAlignment="1">
      <alignment/>
    </xf>
    <xf numFmtId="10" fontId="0" fillId="0" borderId="19" xfId="0" applyNumberFormat="1" applyBorder="1" applyAlignment="1">
      <alignment/>
    </xf>
    <xf numFmtId="169" fontId="0" fillId="0" borderId="19" xfId="0" applyNumberFormat="1" applyBorder="1" applyAlignment="1">
      <alignment horizontal="center"/>
    </xf>
    <xf numFmtId="169" fontId="11" fillId="0" borderId="20" xfId="0" applyNumberFormat="1" applyFont="1" applyBorder="1" applyAlignment="1">
      <alignment horizontal="center"/>
    </xf>
    <xf numFmtId="169" fontId="0" fillId="0" borderId="0" xfId="0" applyNumberFormat="1" applyAlignment="1">
      <alignment/>
    </xf>
    <xf numFmtId="10" fontId="0" fillId="0" borderId="0" xfId="0" applyNumberFormat="1" applyAlignment="1">
      <alignment/>
    </xf>
    <xf numFmtId="0" fontId="0" fillId="0" borderId="0" xfId="0" applyBorder="1" applyAlignment="1">
      <alignment/>
    </xf>
    <xf numFmtId="0" fontId="0" fillId="0" borderId="17" xfId="0" applyBorder="1" applyAlignment="1">
      <alignment/>
    </xf>
    <xf numFmtId="0" fontId="0" fillId="0" borderId="0" xfId="0" applyFill="1"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Border="1" applyAlignment="1">
      <alignment/>
    </xf>
    <xf numFmtId="0" fontId="0" fillId="0" borderId="0" xfId="0" applyFont="1" applyAlignment="1">
      <alignment/>
    </xf>
    <xf numFmtId="0" fontId="0" fillId="0" borderId="37" xfId="0" applyFont="1" applyBorder="1" applyAlignment="1">
      <alignment/>
    </xf>
    <xf numFmtId="0" fontId="0" fillId="0" borderId="37" xfId="0" applyFont="1" applyBorder="1" applyAlignment="1">
      <alignment horizontal="right"/>
    </xf>
    <xf numFmtId="0" fontId="0" fillId="0" borderId="37" xfId="0" applyFont="1" applyFill="1" applyBorder="1" applyAlignment="1">
      <alignment/>
    </xf>
    <xf numFmtId="0" fontId="0" fillId="0" borderId="28" xfId="0" applyFont="1" applyBorder="1" applyAlignment="1">
      <alignment/>
    </xf>
    <xf numFmtId="0" fontId="0" fillId="0" borderId="28" xfId="0" applyFont="1" applyBorder="1" applyAlignment="1">
      <alignment horizontal="right"/>
    </xf>
    <xf numFmtId="0" fontId="0" fillId="0" borderId="28" xfId="0" applyFont="1" applyFill="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0" fontId="0" fillId="0" borderId="0" xfId="0" applyFont="1" applyFill="1" applyBorder="1" applyAlignment="1">
      <alignment/>
    </xf>
    <xf numFmtId="0" fontId="0" fillId="0" borderId="28" xfId="0" applyFont="1" applyBorder="1" applyAlignment="1">
      <alignment horizontal="center"/>
    </xf>
    <xf numFmtId="170" fontId="0" fillId="0" borderId="0" xfId="0" applyNumberFormat="1" applyFont="1" applyFill="1" applyBorder="1" applyAlignment="1" applyProtection="1">
      <alignment vertical="center"/>
      <protection/>
    </xf>
    <xf numFmtId="0" fontId="0" fillId="0" borderId="0" xfId="0" applyFont="1" applyAlignment="1">
      <alignment horizontal="left"/>
    </xf>
    <xf numFmtId="170" fontId="17" fillId="0" borderId="0" xfId="0" applyNumberFormat="1" applyFont="1" applyFill="1" applyBorder="1" applyAlignment="1" applyProtection="1">
      <alignment vertical="center"/>
      <protection/>
    </xf>
    <xf numFmtId="0" fontId="0" fillId="0" borderId="0" xfId="0" applyFont="1" applyFill="1" applyBorder="1" applyAlignment="1">
      <alignment horizontal="right"/>
    </xf>
    <xf numFmtId="170" fontId="0"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right"/>
    </xf>
    <xf numFmtId="0" fontId="0" fillId="0" borderId="0" xfId="0" applyFont="1" applyAlignment="1">
      <alignment/>
    </xf>
    <xf numFmtId="0" fontId="4" fillId="0" borderId="0" xfId="0" applyFont="1" applyBorder="1" applyAlignment="1">
      <alignment horizontal="center"/>
    </xf>
    <xf numFmtId="0" fontId="0" fillId="0" borderId="26" xfId="0" applyBorder="1" applyAlignment="1">
      <alignment/>
    </xf>
    <xf numFmtId="0" fontId="0" fillId="0" borderId="28" xfId="0" applyBorder="1" applyAlignment="1">
      <alignment/>
    </xf>
    <xf numFmtId="0" fontId="15" fillId="0" borderId="52" xfId="0" applyFont="1" applyFill="1" applyBorder="1" applyAlignment="1">
      <alignment horizontal="center" wrapText="1"/>
    </xf>
    <xf numFmtId="0" fontId="16" fillId="0" borderId="53" xfId="0" applyFont="1" applyFill="1" applyBorder="1" applyAlignment="1">
      <alignment horizontal="left" wrapText="1"/>
    </xf>
    <xf numFmtId="0" fontId="16" fillId="0" borderId="54" xfId="0" applyFont="1" applyFill="1" applyBorder="1" applyAlignment="1">
      <alignment horizontal="left" wrapText="1"/>
    </xf>
    <xf numFmtId="0" fontId="16" fillId="0" borderId="55" xfId="0" applyFont="1" applyFill="1" applyBorder="1" applyAlignment="1">
      <alignment horizontal="left" wrapText="1"/>
    </xf>
    <xf numFmtId="0" fontId="4" fillId="0" borderId="0" xfId="0" applyFont="1" applyBorder="1" applyAlignment="1" applyProtection="1">
      <alignment/>
      <protection/>
    </xf>
    <xf numFmtId="0" fontId="0" fillId="0" borderId="11" xfId="0" applyBorder="1" applyAlignment="1" applyProtection="1">
      <alignment vertical="center"/>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protection/>
    </xf>
    <xf numFmtId="1" fontId="0" fillId="0" borderId="25"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9" fontId="0" fillId="0" borderId="0" xfId="0" applyNumberFormat="1" applyFont="1" applyFill="1" applyBorder="1" applyAlignment="1" applyProtection="1">
      <alignment horizontal="right"/>
      <protection/>
    </xf>
    <xf numFmtId="0" fontId="6" fillId="0" borderId="22" xfId="0" applyFont="1" applyBorder="1" applyAlignment="1" applyProtection="1">
      <alignment horizontal="right"/>
      <protection/>
    </xf>
    <xf numFmtId="0" fontId="6" fillId="0" borderId="0" xfId="0" applyFont="1" applyBorder="1" applyAlignment="1" applyProtection="1">
      <alignment horizontal="right"/>
      <protection/>
    </xf>
    <xf numFmtId="0" fontId="0" fillId="0" borderId="56" xfId="0" applyBorder="1" applyAlignment="1">
      <alignment/>
    </xf>
    <xf numFmtId="0" fontId="10" fillId="0" borderId="0" xfId="0" applyFont="1" applyAlignment="1">
      <alignment/>
    </xf>
    <xf numFmtId="0" fontId="10" fillId="0" borderId="0" xfId="0" applyFont="1" applyBorder="1" applyAlignment="1">
      <alignment/>
    </xf>
    <xf numFmtId="0" fontId="10" fillId="0" borderId="19" xfId="0" applyFont="1" applyBorder="1" applyAlignment="1">
      <alignment/>
    </xf>
    <xf numFmtId="10" fontId="0" fillId="0" borderId="27" xfId="0" applyNumberFormat="1" applyFont="1" applyBorder="1" applyAlignment="1" applyProtection="1">
      <alignment/>
      <protection/>
    </xf>
    <xf numFmtId="10" fontId="0" fillId="0" borderId="0" xfId="0" applyNumberFormat="1" applyFont="1" applyBorder="1" applyAlignment="1" applyProtection="1">
      <alignment horizontal="center"/>
      <protection/>
    </xf>
    <xf numFmtId="10" fontId="0" fillId="0" borderId="41" xfId="0" applyNumberFormat="1" applyFont="1" applyBorder="1" applyAlignment="1" applyProtection="1">
      <alignment horizontal="center"/>
      <protection/>
    </xf>
    <xf numFmtId="10" fontId="0" fillId="0" borderId="47" xfId="0" applyNumberFormat="1" applyFont="1" applyBorder="1" applyAlignment="1" applyProtection="1">
      <alignment horizontal="center"/>
      <protection/>
    </xf>
    <xf numFmtId="10" fontId="0" fillId="0" borderId="19" xfId="0" applyNumberFormat="1" applyFont="1" applyBorder="1" applyAlignment="1" applyProtection="1">
      <alignment horizontal="center"/>
      <protection/>
    </xf>
    <xf numFmtId="10" fontId="0" fillId="0" borderId="0" xfId="0" applyNumberFormat="1" applyFont="1" applyAlignment="1" applyProtection="1">
      <alignment horizontal="center"/>
      <protection/>
    </xf>
    <xf numFmtId="10" fontId="0" fillId="0" borderId="0" xfId="0" applyNumberFormat="1" applyFont="1" applyAlignment="1" applyProtection="1">
      <alignment/>
      <protection/>
    </xf>
    <xf numFmtId="6" fontId="21" fillId="0" borderId="54" xfId="0" applyNumberFormat="1" applyFont="1" applyFill="1" applyBorder="1" applyAlignment="1">
      <alignment horizontal="center" wrapText="1"/>
    </xf>
    <xf numFmtId="0" fontId="10" fillId="0" borderId="0" xfId="0" applyNumberFormat="1" applyFont="1" applyFill="1" applyBorder="1" applyAlignment="1">
      <alignment horizontal="center"/>
    </xf>
    <xf numFmtId="0" fontId="4" fillId="0" borderId="11" xfId="0" applyFont="1" applyBorder="1" applyAlignment="1">
      <alignment/>
    </xf>
    <xf numFmtId="0" fontId="4" fillId="0" borderId="24" xfId="0" applyFont="1" applyBorder="1" applyAlignment="1">
      <alignment/>
    </xf>
    <xf numFmtId="0" fontId="0" fillId="0" borderId="19" xfId="0" applyFont="1" applyBorder="1" applyAlignment="1">
      <alignment/>
    </xf>
    <xf numFmtId="0" fontId="0" fillId="0" borderId="19" xfId="0" applyFont="1" applyBorder="1" applyAlignment="1">
      <alignment horizontal="right"/>
    </xf>
    <xf numFmtId="0" fontId="0" fillId="0" borderId="0" xfId="0" applyFont="1" applyBorder="1" applyAlignment="1">
      <alignment horizontal="left"/>
    </xf>
    <xf numFmtId="9" fontId="0" fillId="0" borderId="0" xfId="0" applyNumberFormat="1" applyBorder="1" applyAlignment="1" applyProtection="1">
      <alignment horizontal="right"/>
      <protection/>
    </xf>
    <xf numFmtId="0" fontId="0" fillId="0" borderId="57" xfId="0" applyFill="1" applyBorder="1" applyAlignment="1" applyProtection="1">
      <alignment horizontal="center"/>
      <protection/>
    </xf>
    <xf numFmtId="0" fontId="0" fillId="0" borderId="25" xfId="0" applyBorder="1" applyAlignment="1">
      <alignment/>
    </xf>
    <xf numFmtId="0" fontId="0" fillId="0" borderId="19" xfId="0" applyFill="1" applyBorder="1" applyAlignment="1">
      <alignment/>
    </xf>
    <xf numFmtId="0" fontId="0" fillId="0" borderId="0" xfId="0" applyFill="1" applyAlignment="1">
      <alignment/>
    </xf>
    <xf numFmtId="0" fontId="7" fillId="0" borderId="17" xfId="0" applyFont="1" applyBorder="1" applyAlignment="1" applyProtection="1">
      <alignment horizontal="center"/>
      <protection/>
    </xf>
    <xf numFmtId="169" fontId="0" fillId="0" borderId="43" xfId="0" applyNumberFormat="1" applyFont="1" applyBorder="1" applyAlignment="1" applyProtection="1">
      <alignment horizontal="center"/>
      <protection/>
    </xf>
    <xf numFmtId="0" fontId="0" fillId="0" borderId="0" xfId="0" applyBorder="1" applyAlignment="1" applyProtection="1">
      <alignment horizontal="left"/>
      <protection/>
    </xf>
    <xf numFmtId="0" fontId="0" fillId="0" borderId="0" xfId="0" applyFont="1" applyFill="1" applyBorder="1" applyAlignment="1" applyProtection="1">
      <alignment/>
      <protection/>
    </xf>
    <xf numFmtId="170" fontId="0" fillId="0" borderId="0" xfId="45" applyNumberFormat="1" applyFont="1" applyFill="1" applyBorder="1" applyAlignment="1" applyProtection="1">
      <alignment/>
      <protection/>
    </xf>
    <xf numFmtId="0" fontId="0" fillId="0" borderId="0" xfId="0" applyAlignment="1" applyProtection="1">
      <alignment/>
      <protection/>
    </xf>
    <xf numFmtId="170" fontId="0" fillId="0" borderId="0" xfId="45" applyNumberFormat="1" applyFont="1" applyBorder="1" applyAlignment="1" applyProtection="1">
      <alignment/>
      <protection/>
    </xf>
    <xf numFmtId="170" fontId="0" fillId="0" borderId="0" xfId="0" applyNumberFormat="1" applyFill="1" applyBorder="1" applyAlignment="1" applyProtection="1">
      <alignment/>
      <protection/>
    </xf>
    <xf numFmtId="170" fontId="0" fillId="0" borderId="0" xfId="0" applyNumberFormat="1" applyBorder="1" applyAlignment="1" applyProtection="1">
      <alignment/>
      <protection/>
    </xf>
    <xf numFmtId="170" fontId="0" fillId="0" borderId="19" xfId="45" applyNumberFormat="1" applyFont="1" applyFill="1" applyBorder="1" applyAlignment="1" applyProtection="1">
      <alignment/>
      <protection/>
    </xf>
    <xf numFmtId="0" fontId="4" fillId="0" borderId="25" xfId="0" applyFont="1" applyBorder="1" applyAlignment="1" applyProtection="1">
      <alignment/>
      <protection/>
    </xf>
    <xf numFmtId="0" fontId="7" fillId="0" borderId="11" xfId="0" applyFont="1" applyBorder="1" applyAlignment="1" applyProtection="1">
      <alignment horizontal="right"/>
      <protection/>
    </xf>
    <xf numFmtId="0" fontId="0" fillId="0" borderId="58" xfId="0" applyBorder="1" applyAlignment="1" applyProtection="1">
      <alignment/>
      <protection/>
    </xf>
    <xf numFmtId="170" fontId="0" fillId="0" borderId="25" xfId="45" applyNumberFormat="1" applyFont="1" applyFill="1" applyBorder="1" applyAlignment="1" applyProtection="1">
      <alignment/>
      <protection/>
    </xf>
    <xf numFmtId="0" fontId="4" fillId="0" borderId="17" xfId="0" applyFont="1" applyFill="1" applyBorder="1" applyAlignment="1" applyProtection="1">
      <alignment horizontal="center"/>
      <protection/>
    </xf>
    <xf numFmtId="169" fontId="10" fillId="0" borderId="0" xfId="0" applyNumberFormat="1" applyFont="1" applyFill="1" applyBorder="1" applyAlignment="1" applyProtection="1">
      <alignment horizontal="right"/>
      <protection/>
    </xf>
    <xf numFmtId="169" fontId="10" fillId="0" borderId="0"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15" fillId="0" borderId="59" xfId="0" applyFont="1" applyFill="1" applyBorder="1" applyAlignment="1">
      <alignment horizontal="center" wrapText="1"/>
    </xf>
    <xf numFmtId="0" fontId="15" fillId="0" borderId="60" xfId="0" applyFont="1" applyFill="1" applyBorder="1" applyAlignment="1">
      <alignment horizontal="center" wrapText="1"/>
    </xf>
    <xf numFmtId="0" fontId="22" fillId="0" borderId="61" xfId="0" applyFont="1" applyFill="1" applyBorder="1" applyAlignment="1">
      <alignment/>
    </xf>
    <xf numFmtId="0" fontId="16" fillId="0" borderId="62" xfId="0" applyFont="1" applyFill="1" applyBorder="1" applyAlignment="1">
      <alignment horizontal="center" wrapText="1"/>
    </xf>
    <xf numFmtId="0" fontId="21" fillId="0" borderId="54" xfId="0" applyFont="1" applyFill="1" applyBorder="1" applyAlignment="1">
      <alignment horizontal="center" wrapText="1"/>
    </xf>
    <xf numFmtId="0" fontId="22" fillId="0" borderId="60" xfId="0" applyFont="1" applyBorder="1" applyAlignment="1">
      <alignment horizontal="center"/>
    </xf>
    <xf numFmtId="0" fontId="22" fillId="0" borderId="63" xfId="0" applyFont="1" applyFill="1" applyBorder="1" applyAlignment="1">
      <alignment/>
    </xf>
    <xf numFmtId="0" fontId="22" fillId="0" borderId="64" xfId="0" applyFont="1" applyFill="1" applyBorder="1" applyAlignment="1">
      <alignment/>
    </xf>
    <xf numFmtId="0" fontId="22" fillId="0" borderId="65" xfId="0" applyFont="1" applyFill="1" applyBorder="1" applyAlignment="1">
      <alignment/>
    </xf>
    <xf numFmtId="6" fontId="22" fillId="0" borderId="0" xfId="0" applyNumberFormat="1" applyFont="1" applyFill="1" applyBorder="1" applyAlignment="1" applyProtection="1">
      <alignment horizontal="center" wrapText="1"/>
      <protection/>
    </xf>
    <xf numFmtId="0" fontId="0" fillId="0" borderId="0" xfId="0" applyFont="1" applyAlignment="1">
      <alignment/>
    </xf>
    <xf numFmtId="6" fontId="22" fillId="0" borderId="0" xfId="0" applyNumberFormat="1" applyFont="1" applyFill="1" applyBorder="1" applyAlignment="1">
      <alignment horizontal="center" wrapText="1"/>
    </xf>
    <xf numFmtId="170" fontId="22" fillId="0" borderId="60" xfId="0" applyNumberFormat="1" applyFont="1" applyBorder="1" applyAlignment="1">
      <alignment horizontal="center"/>
    </xf>
    <xf numFmtId="0" fontId="4" fillId="0" borderId="11" xfId="0" applyFont="1" applyBorder="1" applyAlignment="1" applyProtection="1">
      <alignment/>
      <protection/>
    </xf>
    <xf numFmtId="0" fontId="4" fillId="0" borderId="15" xfId="0" applyFont="1" applyBorder="1" applyAlignment="1" applyProtection="1">
      <alignment/>
      <protection/>
    </xf>
    <xf numFmtId="0" fontId="10" fillId="0" borderId="11" xfId="0" applyFont="1" applyBorder="1" applyAlignment="1" applyProtection="1">
      <alignment horizontal="right"/>
      <protection/>
    </xf>
    <xf numFmtId="0" fontId="4" fillId="0" borderId="66" xfId="0" applyFont="1" applyBorder="1" applyAlignment="1" applyProtection="1">
      <alignment/>
      <protection/>
    </xf>
    <xf numFmtId="170" fontId="4" fillId="0" borderId="0" xfId="45" applyNumberFormat="1" applyFont="1" applyFill="1" applyBorder="1" applyAlignment="1" applyProtection="1">
      <alignment/>
      <protection/>
    </xf>
    <xf numFmtId="0" fontId="0" fillId="0" borderId="22" xfId="0" applyFill="1" applyBorder="1" applyAlignment="1" applyProtection="1">
      <alignment/>
      <protection/>
    </xf>
    <xf numFmtId="170" fontId="0" fillId="0" borderId="0" xfId="0" applyNumberFormat="1" applyFont="1" applyFill="1" applyBorder="1" applyAlignment="1" applyProtection="1">
      <alignment horizontal="right"/>
      <protection/>
    </xf>
    <xf numFmtId="0" fontId="0" fillId="0" borderId="20" xfId="0" applyFont="1" applyFill="1" applyBorder="1" applyAlignment="1" applyProtection="1">
      <alignment horizontal="center"/>
      <protection/>
    </xf>
    <xf numFmtId="0" fontId="4" fillId="0" borderId="8" xfId="0" applyFont="1" applyBorder="1" applyAlignment="1" applyProtection="1">
      <alignment horizontal="center"/>
      <protection/>
    </xf>
    <xf numFmtId="0" fontId="4" fillId="0" borderId="22" xfId="0" applyFont="1" applyBorder="1" applyAlignment="1" applyProtection="1">
      <alignment horizontal="right"/>
      <protection/>
    </xf>
    <xf numFmtId="170" fontId="4" fillId="0" borderId="10" xfId="0" applyNumberFormat="1" applyFont="1" applyFill="1" applyBorder="1" applyAlignment="1" applyProtection="1">
      <alignment horizontal="center"/>
      <protection/>
    </xf>
    <xf numFmtId="170" fontId="10" fillId="0" borderId="22" xfId="0" applyNumberFormat="1" applyFont="1" applyBorder="1" applyAlignment="1" applyProtection="1">
      <alignment/>
      <protection/>
    </xf>
    <xf numFmtId="170" fontId="4" fillId="0" borderId="58" xfId="0" applyNumberFormat="1" applyFont="1" applyFill="1" applyBorder="1" applyAlignment="1" applyProtection="1">
      <alignment horizontal="center"/>
      <protection/>
    </xf>
    <xf numFmtId="0" fontId="13" fillId="0" borderId="0" xfId="0" applyFont="1" applyAlignment="1">
      <alignment/>
    </xf>
    <xf numFmtId="0" fontId="13" fillId="0" borderId="0" xfId="0" applyFont="1" applyBorder="1" applyAlignment="1">
      <alignment/>
    </xf>
    <xf numFmtId="0" fontId="0" fillId="0" borderId="28" xfId="0" applyFont="1" applyBorder="1" applyAlignment="1">
      <alignment horizontal="left"/>
    </xf>
    <xf numFmtId="0" fontId="0" fillId="0" borderId="37" xfId="0" applyFont="1" applyBorder="1" applyAlignment="1">
      <alignment horizontal="left"/>
    </xf>
    <xf numFmtId="0" fontId="0" fillId="0" borderId="19" xfId="0" applyFont="1" applyBorder="1" applyAlignment="1">
      <alignment horizontal="left"/>
    </xf>
    <xf numFmtId="170" fontId="0" fillId="0" borderId="0" xfId="0" applyNumberFormat="1" applyFont="1" applyBorder="1" applyAlignment="1">
      <alignment horizontal="center"/>
    </xf>
    <xf numFmtId="170" fontId="0" fillId="0" borderId="28" xfId="0" applyNumberFormat="1" applyFont="1" applyBorder="1" applyAlignment="1">
      <alignment/>
    </xf>
    <xf numFmtId="170" fontId="0" fillId="0" borderId="37" xfId="0" applyNumberFormat="1" applyFont="1" applyBorder="1" applyAlignment="1">
      <alignment/>
    </xf>
    <xf numFmtId="170" fontId="0" fillId="0" borderId="19" xfId="0" applyNumberFormat="1" applyFont="1" applyBorder="1" applyAlignment="1">
      <alignment/>
    </xf>
    <xf numFmtId="170" fontId="0" fillId="0" borderId="0" xfId="0" applyNumberFormat="1" applyFont="1" applyAlignment="1">
      <alignment/>
    </xf>
    <xf numFmtId="0" fontId="0" fillId="0" borderId="0" xfId="0" applyFont="1" applyBorder="1" applyAlignment="1">
      <alignment horizontal="center" wrapText="1"/>
    </xf>
    <xf numFmtId="0" fontId="0" fillId="0" borderId="0" xfId="0" applyFont="1" applyAlignment="1">
      <alignment wrapText="1"/>
    </xf>
    <xf numFmtId="0" fontId="0" fillId="0" borderId="17" xfId="0" applyFont="1" applyBorder="1" applyAlignment="1">
      <alignment/>
    </xf>
    <xf numFmtId="0" fontId="0" fillId="0" borderId="0" xfId="0" applyFont="1" applyBorder="1" applyAlignment="1">
      <alignment wrapText="1"/>
    </xf>
    <xf numFmtId="0" fontId="4" fillId="0" borderId="67" xfId="0" applyFont="1" applyBorder="1" applyAlignment="1">
      <alignment/>
    </xf>
    <xf numFmtId="0" fontId="0" fillId="0" borderId="8" xfId="0" applyBorder="1" applyAlignment="1">
      <alignment/>
    </xf>
    <xf numFmtId="0" fontId="0" fillId="0" borderId="58" xfId="0" applyBorder="1" applyAlignment="1">
      <alignment/>
    </xf>
    <xf numFmtId="0" fontId="0" fillId="0" borderId="67" xfId="0" applyBorder="1" applyAlignment="1">
      <alignment/>
    </xf>
    <xf numFmtId="170" fontId="4" fillId="0" borderId="0" xfId="0" applyNumberFormat="1" applyFont="1" applyBorder="1" applyAlignment="1">
      <alignment horizontal="center"/>
    </xf>
    <xf numFmtId="0" fontId="4" fillId="0" borderId="0" xfId="0" applyFont="1" applyBorder="1" applyAlignment="1">
      <alignment horizontal="center" wrapText="1"/>
    </xf>
    <xf numFmtId="170" fontId="4" fillId="0" borderId="0" xfId="0" applyNumberFormat="1" applyFont="1" applyBorder="1" applyAlignment="1">
      <alignment/>
    </xf>
    <xf numFmtId="0" fontId="0" fillId="0" borderId="0" xfId="0" applyFont="1" applyFill="1" applyBorder="1" applyAlignment="1">
      <alignment horizontal="left"/>
    </xf>
    <xf numFmtId="0" fontId="0" fillId="0" borderId="37" xfId="0" applyFont="1" applyFill="1" applyBorder="1" applyAlignment="1">
      <alignment horizontal="right"/>
    </xf>
    <xf numFmtId="0" fontId="0" fillId="0" borderId="20"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25" xfId="0" applyFont="1" applyBorder="1" applyAlignment="1">
      <alignment horizontal="right"/>
    </xf>
    <xf numFmtId="170" fontId="0" fillId="0" borderId="25" xfId="0" applyNumberFormat="1" applyFont="1" applyBorder="1" applyAlignment="1">
      <alignment/>
    </xf>
    <xf numFmtId="0" fontId="0" fillId="0" borderId="32" xfId="0" applyFont="1" applyBorder="1" applyAlignment="1">
      <alignment/>
    </xf>
    <xf numFmtId="0" fontId="0" fillId="0" borderId="8" xfId="0" applyFont="1" applyBorder="1" applyAlignment="1">
      <alignment/>
    </xf>
    <xf numFmtId="0" fontId="0" fillId="0" borderId="8" xfId="0" applyFont="1" applyBorder="1" applyAlignment="1">
      <alignment wrapText="1"/>
    </xf>
    <xf numFmtId="0" fontId="0" fillId="0" borderId="0" xfId="0" applyAlignment="1">
      <alignment wrapText="1"/>
    </xf>
    <xf numFmtId="0" fontId="4" fillId="0" borderId="25" xfId="0" applyFont="1" applyBorder="1" applyAlignment="1">
      <alignment/>
    </xf>
    <xf numFmtId="0" fontId="0" fillId="0" borderId="26" xfId="0" applyFont="1" applyBorder="1" applyAlignment="1">
      <alignment/>
    </xf>
    <xf numFmtId="0" fontId="11" fillId="0" borderId="0" xfId="0" applyFont="1" applyBorder="1" applyAlignment="1">
      <alignment horizontal="right"/>
    </xf>
    <xf numFmtId="170" fontId="0" fillId="0" borderId="0" xfId="0" applyNumberFormat="1" applyFont="1" applyBorder="1" applyAlignment="1">
      <alignment horizontal="right"/>
    </xf>
    <xf numFmtId="0" fontId="25" fillId="0" borderId="68" xfId="0" applyFont="1" applyBorder="1" applyAlignment="1">
      <alignment horizontal="justify" wrapText="1"/>
    </xf>
    <xf numFmtId="0" fontId="25" fillId="0" borderId="69" xfId="0" applyFont="1" applyBorder="1" applyAlignment="1">
      <alignment horizontal="justify" wrapText="1"/>
    </xf>
    <xf numFmtId="0" fontId="25" fillId="0" borderId="70" xfId="0" applyFont="1" applyBorder="1" applyAlignment="1">
      <alignment horizontal="justify" wrapText="1"/>
    </xf>
    <xf numFmtId="6" fontId="26" fillId="0" borderId="71" xfId="0" applyNumberFormat="1" applyFont="1" applyBorder="1" applyAlignment="1">
      <alignment horizontal="right" wrapText="1"/>
    </xf>
    <xf numFmtId="9" fontId="26" fillId="0" borderId="72" xfId="0" applyNumberFormat="1" applyFont="1" applyBorder="1" applyAlignment="1">
      <alignment horizontal="center" wrapText="1"/>
    </xf>
    <xf numFmtId="9" fontId="26" fillId="0" borderId="71" xfId="0" applyNumberFormat="1" applyFont="1" applyBorder="1" applyAlignment="1">
      <alignment horizontal="center" wrapText="1"/>
    </xf>
    <xf numFmtId="0" fontId="4" fillId="0" borderId="73" xfId="0" applyFont="1" applyBorder="1" applyAlignment="1">
      <alignment horizontal="center"/>
    </xf>
    <xf numFmtId="0" fontId="4" fillId="0" borderId="74" xfId="0" applyFont="1" applyBorder="1" applyAlignment="1">
      <alignment horizontal="center"/>
    </xf>
    <xf numFmtId="9" fontId="26" fillId="0" borderId="75" xfId="0" applyNumberFormat="1" applyFont="1" applyBorder="1" applyAlignment="1">
      <alignment horizontal="center" wrapText="1"/>
    </xf>
    <xf numFmtId="9" fontId="26" fillId="0" borderId="76" xfId="0" applyNumberFormat="1" applyFont="1" applyBorder="1" applyAlignment="1">
      <alignment horizontal="center" wrapText="1"/>
    </xf>
    <xf numFmtId="6" fontId="26" fillId="0" borderId="75" xfId="0" applyNumberFormat="1" applyFont="1" applyBorder="1" applyAlignment="1">
      <alignment horizontal="right" wrapText="1"/>
    </xf>
    <xf numFmtId="6" fontId="26" fillId="0" borderId="72" xfId="0" applyNumberFormat="1" applyFont="1" applyBorder="1" applyAlignment="1">
      <alignment horizontal="right" wrapText="1"/>
    </xf>
    <xf numFmtId="6" fontId="26" fillId="0" borderId="28" xfId="0" applyNumberFormat="1" applyFont="1" applyBorder="1" applyAlignment="1">
      <alignment horizontal="right" wrapText="1"/>
    </xf>
    <xf numFmtId="6" fontId="26" fillId="0" borderId="76" xfId="0" applyNumberFormat="1" applyFont="1" applyBorder="1" applyAlignment="1">
      <alignment horizontal="right" wrapText="1"/>
    </xf>
    <xf numFmtId="6" fontId="26" fillId="0" borderId="77" xfId="0" applyNumberFormat="1" applyFont="1" applyBorder="1" applyAlignment="1">
      <alignment horizontal="right" wrapText="1"/>
    </xf>
    <xf numFmtId="6" fontId="26" fillId="0" borderId="68" xfId="0" applyNumberFormat="1" applyFont="1" applyBorder="1" applyAlignment="1">
      <alignment horizontal="right" wrapText="1"/>
    </xf>
    <xf numFmtId="170" fontId="26" fillId="0" borderId="69" xfId="0" applyNumberFormat="1" applyFont="1" applyBorder="1" applyAlignment="1">
      <alignment horizontal="right" wrapText="1"/>
    </xf>
    <xf numFmtId="6" fontId="26" fillId="0" borderId="48" xfId="0" applyNumberFormat="1" applyFont="1" applyBorder="1" applyAlignment="1">
      <alignment horizontal="right" wrapText="1"/>
    </xf>
    <xf numFmtId="6" fontId="26" fillId="0" borderId="18" xfId="0" applyNumberFormat="1" applyFont="1" applyBorder="1" applyAlignment="1">
      <alignment horizontal="right" wrapText="1"/>
    </xf>
    <xf numFmtId="0" fontId="26" fillId="0" borderId="73" xfId="0" applyFont="1" applyBorder="1" applyAlignment="1">
      <alignment horizontal="right" wrapText="1"/>
    </xf>
    <xf numFmtId="6" fontId="26" fillId="0" borderId="78" xfId="0" applyNumberFormat="1" applyFont="1" applyBorder="1" applyAlignment="1">
      <alignment horizontal="right" wrapText="1"/>
    </xf>
    <xf numFmtId="9" fontId="26" fillId="0" borderId="68" xfId="0" applyNumberFormat="1" applyFont="1" applyBorder="1" applyAlignment="1">
      <alignment horizontal="center" wrapText="1"/>
    </xf>
    <xf numFmtId="9" fontId="26" fillId="0" borderId="69" xfId="0" applyNumberFormat="1" applyFont="1" applyBorder="1" applyAlignment="1">
      <alignment horizontal="center" wrapText="1"/>
    </xf>
    <xf numFmtId="170" fontId="0" fillId="0" borderId="29" xfId="0" applyNumberFormat="1" applyFont="1" applyBorder="1" applyAlignment="1">
      <alignment horizontal="right"/>
    </xf>
    <xf numFmtId="170" fontId="0" fillId="0" borderId="34" xfId="0" applyNumberFormat="1" applyFont="1" applyBorder="1" applyAlignment="1">
      <alignment horizontal="right"/>
    </xf>
    <xf numFmtId="9" fontId="26" fillId="0" borderId="79" xfId="0" applyNumberFormat="1" applyFont="1" applyBorder="1" applyAlignment="1">
      <alignment horizontal="center" wrapText="1"/>
    </xf>
    <xf numFmtId="9" fontId="26" fillId="0" borderId="80" xfId="0" applyNumberFormat="1" applyFont="1" applyBorder="1" applyAlignment="1">
      <alignment horizontal="center" wrapText="1"/>
    </xf>
    <xf numFmtId="6" fontId="10" fillId="0" borderId="0" xfId="0" applyNumberFormat="1" applyFont="1" applyBorder="1" applyAlignment="1">
      <alignment horizontal="right" wrapText="1"/>
    </xf>
    <xf numFmtId="0" fontId="0" fillId="0" borderId="0" xfId="0" applyFill="1" applyBorder="1" applyAlignment="1" applyProtection="1">
      <alignment horizontal="left"/>
      <protection/>
    </xf>
    <xf numFmtId="0" fontId="0" fillId="0" borderId="19" xfId="0" applyFont="1" applyFill="1" applyBorder="1" applyAlignment="1">
      <alignment/>
    </xf>
    <xf numFmtId="0" fontId="0" fillId="0" borderId="28" xfId="0" applyFont="1" applyFill="1" applyBorder="1" applyAlignment="1">
      <alignment horizontal="right"/>
    </xf>
    <xf numFmtId="170" fontId="7" fillId="0" borderId="81" xfId="0" applyNumberFormat="1" applyFont="1" applyFill="1" applyBorder="1" applyAlignment="1" applyProtection="1">
      <alignment/>
      <protection/>
    </xf>
    <xf numFmtId="170" fontId="7" fillId="0" borderId="15" xfId="45" applyNumberFormat="1" applyFont="1" applyFill="1" applyBorder="1" applyAlignment="1" applyProtection="1">
      <alignment/>
      <protection/>
    </xf>
    <xf numFmtId="170" fontId="0" fillId="0" borderId="33" xfId="45" applyNumberFormat="1" applyFont="1" applyFill="1" applyBorder="1" applyAlignment="1" applyProtection="1">
      <alignment/>
      <protection/>
    </xf>
    <xf numFmtId="0" fontId="0" fillId="0" borderId="67" xfId="0" applyBorder="1" applyAlignment="1" applyProtection="1">
      <alignment/>
      <protection/>
    </xf>
    <xf numFmtId="0" fontId="0" fillId="0" borderId="8" xfId="0" applyBorder="1" applyAlignment="1" applyProtection="1">
      <alignment/>
      <protection/>
    </xf>
    <xf numFmtId="0" fontId="4" fillId="0" borderId="8" xfId="0" applyFont="1" applyBorder="1" applyAlignment="1" applyProtection="1">
      <alignment horizontal="left"/>
      <protection/>
    </xf>
    <xf numFmtId="0" fontId="0" fillId="0" borderId="8" xfId="0" applyBorder="1" applyAlignment="1" applyProtection="1">
      <alignment horizontal="center"/>
      <protection/>
    </xf>
    <xf numFmtId="0" fontId="4" fillId="0" borderId="16" xfId="0" applyFont="1" applyBorder="1" applyAlignment="1" applyProtection="1">
      <alignment/>
      <protection/>
    </xf>
    <xf numFmtId="0" fontId="4" fillId="0" borderId="8" xfId="0" applyFont="1" applyBorder="1" applyAlignment="1" applyProtection="1">
      <alignment/>
      <protection/>
    </xf>
    <xf numFmtId="0" fontId="4" fillId="0" borderId="8" xfId="0" applyFont="1" applyBorder="1" applyAlignment="1" applyProtection="1">
      <alignment horizontal="right"/>
      <protection/>
    </xf>
    <xf numFmtId="0" fontId="4" fillId="0" borderId="58" xfId="0" applyFont="1" applyBorder="1" applyAlignment="1" applyProtection="1">
      <alignment/>
      <protection/>
    </xf>
    <xf numFmtId="0" fontId="7" fillId="0" borderId="19" xfId="0" applyFont="1" applyBorder="1" applyAlignment="1" applyProtection="1">
      <alignment/>
      <protection/>
    </xf>
    <xf numFmtId="170" fontId="0" fillId="0" borderId="33" xfId="0" applyNumberFormat="1" applyFill="1" applyBorder="1" applyAlignment="1" applyProtection="1">
      <alignment/>
      <protection/>
    </xf>
    <xf numFmtId="170" fontId="7" fillId="0" borderId="18" xfId="0" applyNumberFormat="1" applyFont="1" applyBorder="1" applyAlignment="1" applyProtection="1">
      <alignment/>
      <protection/>
    </xf>
    <xf numFmtId="170" fontId="7" fillId="0" borderId="33" xfId="0" applyNumberFormat="1" applyFont="1" applyBorder="1" applyAlignment="1" applyProtection="1">
      <alignment/>
      <protection/>
    </xf>
    <xf numFmtId="0" fontId="0" fillId="0" borderId="67" xfId="0" applyBorder="1" applyAlignment="1" applyProtection="1">
      <alignment horizontal="center"/>
      <protection/>
    </xf>
    <xf numFmtId="0" fontId="0" fillId="0" borderId="0" xfId="0" applyBorder="1" applyAlignment="1">
      <alignment/>
    </xf>
    <xf numFmtId="170" fontId="0" fillId="0" borderId="19" xfId="0" applyNumberFormat="1" applyFill="1" applyBorder="1" applyAlignment="1" applyProtection="1">
      <alignment horizontal="right"/>
      <protection/>
    </xf>
    <xf numFmtId="170" fontId="0" fillId="0" borderId="19" xfId="45" applyNumberFormat="1" applyFont="1" applyFill="1" applyBorder="1" applyAlignment="1" applyProtection="1">
      <alignment horizontal="right"/>
      <protection/>
    </xf>
    <xf numFmtId="0" fontId="4" fillId="0" borderId="11" xfId="0" applyFont="1" applyBorder="1" applyAlignment="1" applyProtection="1">
      <alignment horizontal="left"/>
      <protection/>
    </xf>
    <xf numFmtId="170" fontId="0" fillId="0" borderId="25" xfId="0" applyNumberFormat="1" applyBorder="1" applyAlignment="1" applyProtection="1">
      <alignment horizontal="right"/>
      <protection/>
    </xf>
    <xf numFmtId="170" fontId="0" fillId="0" borderId="25" xfId="45" applyNumberFormat="1" applyFont="1" applyBorder="1" applyAlignment="1" applyProtection="1">
      <alignment horizontal="right"/>
      <protection/>
    </xf>
    <xf numFmtId="9" fontId="26" fillId="0" borderId="46" xfId="0" applyNumberFormat="1" applyFont="1" applyBorder="1" applyAlignment="1">
      <alignment horizontal="center" wrapText="1"/>
    </xf>
    <xf numFmtId="9" fontId="26" fillId="0" borderId="82" xfId="0" applyNumberFormat="1" applyFont="1" applyBorder="1" applyAlignment="1">
      <alignment horizontal="center" wrapText="1"/>
    </xf>
    <xf numFmtId="9" fontId="26" fillId="0" borderId="49" xfId="0" applyNumberFormat="1" applyFont="1" applyBorder="1" applyAlignment="1">
      <alignment horizontal="center" wrapText="1"/>
    </xf>
    <xf numFmtId="9" fontId="26" fillId="0" borderId="83" xfId="0" applyNumberFormat="1" applyFont="1" applyBorder="1" applyAlignment="1">
      <alignment horizontal="center" wrapText="1"/>
    </xf>
    <xf numFmtId="170" fontId="0" fillId="0" borderId="84" xfId="0" applyNumberFormat="1" applyFont="1" applyBorder="1" applyAlignment="1">
      <alignment horizontal="right"/>
    </xf>
    <xf numFmtId="6" fontId="26" fillId="0" borderId="85" xfId="0" applyNumberFormat="1" applyFont="1" applyBorder="1" applyAlignment="1">
      <alignment horizontal="right" wrapText="1"/>
    </xf>
    <xf numFmtId="6" fontId="26" fillId="0" borderId="86" xfId="0" applyNumberFormat="1" applyFont="1" applyBorder="1" applyAlignment="1">
      <alignment horizontal="right" wrapText="1"/>
    </xf>
    <xf numFmtId="170" fontId="0" fillId="0" borderId="24" xfId="0" applyNumberFormat="1" applyFont="1" applyBorder="1" applyAlignment="1">
      <alignment horizontal="right"/>
    </xf>
    <xf numFmtId="170" fontId="0" fillId="0" borderId="25" xfId="0" applyNumberFormat="1" applyFont="1" applyBorder="1" applyAlignment="1">
      <alignment horizontal="right"/>
    </xf>
    <xf numFmtId="170" fontId="0" fillId="0" borderId="26" xfId="0" applyNumberFormat="1" applyFont="1" applyBorder="1" applyAlignment="1">
      <alignment horizontal="right"/>
    </xf>
    <xf numFmtId="170" fontId="0" fillId="0" borderId="11" xfId="0" applyNumberFormat="1" applyFont="1" applyBorder="1" applyAlignment="1">
      <alignment horizontal="right"/>
    </xf>
    <xf numFmtId="170" fontId="0" fillId="0" borderId="17" xfId="0" applyNumberFormat="1" applyFont="1" applyBorder="1" applyAlignment="1">
      <alignment horizontal="right"/>
    </xf>
    <xf numFmtId="1" fontId="25" fillId="0" borderId="87" xfId="0" applyNumberFormat="1" applyFont="1" applyBorder="1" applyAlignment="1">
      <alignment horizontal="center" wrapText="1"/>
    </xf>
    <xf numFmtId="0" fontId="26" fillId="0" borderId="88" xfId="0" applyFont="1" applyBorder="1" applyAlignment="1">
      <alignment horizontal="justify" wrapText="1"/>
    </xf>
    <xf numFmtId="170" fontId="26" fillId="0" borderId="48" xfId="0" applyNumberFormat="1" applyFont="1" applyBorder="1" applyAlignment="1">
      <alignment horizontal="right" wrapText="1"/>
    </xf>
    <xf numFmtId="170" fontId="26" fillId="0" borderId="86" xfId="0" applyNumberFormat="1" applyFont="1" applyBorder="1" applyAlignment="1">
      <alignment horizontal="right" wrapText="1"/>
    </xf>
    <xf numFmtId="0" fontId="0" fillId="0" borderId="88" xfId="0" applyFont="1" applyBorder="1" applyAlignment="1">
      <alignment horizontal="left"/>
    </xf>
    <xf numFmtId="0" fontId="0" fillId="0" borderId="89" xfId="0" applyFont="1" applyBorder="1" applyAlignment="1">
      <alignment horizontal="left"/>
    </xf>
    <xf numFmtId="170" fontId="26" fillId="0" borderId="90" xfId="0" applyNumberFormat="1" applyFont="1" applyBorder="1" applyAlignment="1">
      <alignment horizontal="right" wrapText="1"/>
    </xf>
    <xf numFmtId="170" fontId="26" fillId="0" borderId="78" xfId="0" applyNumberFormat="1" applyFont="1" applyBorder="1" applyAlignment="1">
      <alignment horizontal="right" wrapText="1"/>
    </xf>
    <xf numFmtId="169" fontId="7" fillId="0" borderId="0" xfId="0" applyNumberFormat="1" applyFont="1" applyFill="1" applyBorder="1" applyAlignment="1" applyProtection="1">
      <alignment/>
      <protection/>
    </xf>
    <xf numFmtId="0" fontId="4" fillId="0" borderId="67" xfId="0" applyFont="1" applyBorder="1" applyAlignment="1" applyProtection="1">
      <alignment horizontal="center"/>
      <protection/>
    </xf>
    <xf numFmtId="169" fontId="0" fillId="0" borderId="8" xfId="0" applyNumberFormat="1" applyBorder="1" applyAlignment="1" applyProtection="1">
      <alignment/>
      <protection/>
    </xf>
    <xf numFmtId="169" fontId="0" fillId="0" borderId="58" xfId="0" applyNumberFormat="1" applyBorder="1" applyAlignment="1" applyProtection="1">
      <alignment/>
      <protection/>
    </xf>
    <xf numFmtId="0" fontId="0" fillId="0" borderId="0" xfId="0" applyFont="1" applyBorder="1" applyAlignment="1" applyProtection="1">
      <alignment/>
      <protection/>
    </xf>
    <xf numFmtId="169" fontId="0" fillId="0" borderId="0" xfId="0" applyNumberFormat="1" applyFont="1" applyBorder="1" applyAlignment="1" applyProtection="1">
      <alignment/>
      <protection/>
    </xf>
    <xf numFmtId="0" fontId="0" fillId="0" borderId="17" xfId="0" applyFont="1" applyBorder="1" applyAlignment="1" applyProtection="1">
      <alignment/>
      <protection/>
    </xf>
    <xf numFmtId="0" fontId="7" fillId="0" borderId="0" xfId="0" applyFont="1" applyBorder="1" applyAlignment="1" applyProtection="1">
      <alignment horizontal="left"/>
      <protection/>
    </xf>
    <xf numFmtId="0" fontId="7" fillId="0" borderId="11" xfId="0" applyFont="1" applyBorder="1" applyAlignment="1" applyProtection="1">
      <alignment horizontal="left"/>
      <protection/>
    </xf>
    <xf numFmtId="170" fontId="13" fillId="0" borderId="37" xfId="0" applyNumberFormat="1" applyFont="1" applyBorder="1" applyAlignment="1">
      <alignment horizontal="right"/>
    </xf>
    <xf numFmtId="170" fontId="13" fillId="0" borderId="0" xfId="0" applyNumberFormat="1" applyFont="1" applyBorder="1" applyAlignment="1">
      <alignment horizontal="right"/>
    </xf>
    <xf numFmtId="0" fontId="13" fillId="0" borderId="0" xfId="0" applyFont="1" applyAlignment="1">
      <alignment horizontal="center"/>
    </xf>
    <xf numFmtId="170" fontId="0" fillId="0" borderId="10" xfId="0" applyNumberFormat="1" applyFont="1" applyBorder="1" applyAlignment="1" applyProtection="1">
      <alignment/>
      <protection/>
    </xf>
    <xf numFmtId="170" fontId="0" fillId="0" borderId="10" xfId="0" applyNumberFormat="1" applyFont="1" applyBorder="1" applyAlignment="1" applyProtection="1">
      <alignment horizontal="right"/>
      <protection/>
    </xf>
    <xf numFmtId="0" fontId="0" fillId="0" borderId="14" xfId="0" applyBorder="1" applyAlignment="1" applyProtection="1">
      <alignment/>
      <protection/>
    </xf>
    <xf numFmtId="0" fontId="0" fillId="0" borderId="0" xfId="0" applyFont="1" applyBorder="1" applyAlignment="1" applyProtection="1">
      <alignment horizontal="right" wrapText="1"/>
      <protection/>
    </xf>
    <xf numFmtId="0" fontId="23" fillId="0" borderId="0" xfId="0" applyFont="1" applyBorder="1" applyAlignment="1" applyProtection="1">
      <alignment vertical="top" wrapText="1"/>
      <protection/>
    </xf>
    <xf numFmtId="0" fontId="23" fillId="0" borderId="17" xfId="0" applyFont="1" applyBorder="1" applyAlignment="1" applyProtection="1">
      <alignment vertical="top" wrapText="1"/>
      <protection/>
    </xf>
    <xf numFmtId="0" fontId="7" fillId="0" borderId="24" xfId="0" applyFont="1" applyBorder="1" applyAlignment="1" applyProtection="1">
      <alignment horizontal="left"/>
      <protection/>
    </xf>
    <xf numFmtId="169" fontId="7" fillId="0" borderId="0" xfId="0" applyNumberFormat="1" applyFont="1" applyBorder="1" applyAlignment="1" applyProtection="1">
      <alignment/>
      <protection/>
    </xf>
    <xf numFmtId="0" fontId="0" fillId="0" borderId="0" xfId="0" applyFont="1" applyBorder="1" applyAlignment="1" applyProtection="1">
      <alignment horizontal="left"/>
      <protection/>
    </xf>
    <xf numFmtId="169" fontId="10" fillId="0" borderId="19" xfId="0" applyNumberFormat="1" applyFont="1" applyBorder="1" applyAlignment="1" applyProtection="1">
      <alignment/>
      <protection/>
    </xf>
    <xf numFmtId="8" fontId="0" fillId="0" borderId="19" xfId="0" applyNumberFormat="1" applyBorder="1" applyAlignment="1" applyProtection="1">
      <alignment/>
      <protection/>
    </xf>
    <xf numFmtId="9" fontId="0" fillId="0" borderId="19" xfId="0" applyNumberFormat="1" applyBorder="1" applyAlignment="1" applyProtection="1">
      <alignment/>
      <protection/>
    </xf>
    <xf numFmtId="0" fontId="0" fillId="0" borderId="89" xfId="0" applyBorder="1" applyAlignment="1" applyProtection="1">
      <alignment/>
      <protection/>
    </xf>
    <xf numFmtId="0" fontId="0" fillId="0" borderId="78" xfId="0" applyBorder="1" applyAlignment="1" applyProtection="1">
      <alignment/>
      <protection/>
    </xf>
    <xf numFmtId="0" fontId="9" fillId="0" borderId="21" xfId="0" applyFont="1" applyBorder="1" applyAlignment="1" applyProtection="1">
      <alignment vertical="center"/>
      <protection/>
    </xf>
    <xf numFmtId="0" fontId="9" fillId="0" borderId="22" xfId="0" applyFont="1" applyBorder="1" applyAlignment="1" applyProtection="1">
      <alignment vertical="center"/>
      <protection/>
    </xf>
    <xf numFmtId="0" fontId="0" fillId="0" borderId="28" xfId="0" applyFont="1" applyFill="1" applyBorder="1" applyAlignment="1">
      <alignment horizontal="left"/>
    </xf>
    <xf numFmtId="0" fontId="0" fillId="0" borderId="90" xfId="0" applyFont="1" applyBorder="1" applyAlignment="1">
      <alignment/>
    </xf>
    <xf numFmtId="0" fontId="0" fillId="0" borderId="78" xfId="0" applyFont="1" applyBorder="1" applyAlignment="1">
      <alignment/>
    </xf>
    <xf numFmtId="0" fontId="0" fillId="0" borderId="8" xfId="0" applyFont="1" applyBorder="1" applyAlignment="1">
      <alignment horizontal="right"/>
    </xf>
    <xf numFmtId="0" fontId="0" fillId="0" borderId="17" xfId="0" applyFont="1" applyFill="1" applyBorder="1" applyAlignment="1">
      <alignment/>
    </xf>
    <xf numFmtId="0" fontId="0" fillId="0" borderId="56" xfId="0" applyFill="1" applyBorder="1" applyAlignment="1">
      <alignment/>
    </xf>
    <xf numFmtId="170" fontId="0" fillId="0" borderId="28" xfId="0" applyNumberFormat="1" applyFont="1" applyFill="1" applyBorder="1" applyAlignment="1">
      <alignment/>
    </xf>
    <xf numFmtId="0" fontId="0" fillId="0" borderId="32" xfId="0" applyFont="1" applyFill="1" applyBorder="1" applyAlignment="1">
      <alignment/>
    </xf>
    <xf numFmtId="170" fontId="0" fillId="0" borderId="0" xfId="0" applyNumberFormat="1" applyFont="1" applyFill="1" applyBorder="1" applyAlignment="1">
      <alignment/>
    </xf>
    <xf numFmtId="0" fontId="0" fillId="0" borderId="20" xfId="0" applyFont="1" applyFill="1" applyBorder="1" applyAlignment="1">
      <alignment/>
    </xf>
    <xf numFmtId="10" fontId="7" fillId="0" borderId="33" xfId="0" applyNumberFormat="1" applyFont="1" applyBorder="1" applyAlignment="1" applyProtection="1">
      <alignment horizontal="center"/>
      <protection/>
    </xf>
    <xf numFmtId="0" fontId="4" fillId="0" borderId="67" xfId="0" applyFont="1" applyBorder="1" applyAlignment="1" applyProtection="1">
      <alignment/>
      <protection/>
    </xf>
    <xf numFmtId="169" fontId="7" fillId="0" borderId="8" xfId="0" applyNumberFormat="1" applyFont="1" applyBorder="1" applyAlignment="1" applyProtection="1">
      <alignment/>
      <protection/>
    </xf>
    <xf numFmtId="0" fontId="4" fillId="0" borderId="8" xfId="0" applyFont="1" applyBorder="1" applyAlignment="1" applyProtection="1">
      <alignment/>
      <protection/>
    </xf>
    <xf numFmtId="0" fontId="0" fillId="0" borderId="19" xfId="0" applyBorder="1" applyAlignment="1" applyProtection="1">
      <alignment horizontal="center"/>
      <protection/>
    </xf>
    <xf numFmtId="0" fontId="9" fillId="0" borderId="21" xfId="0" applyFont="1" applyBorder="1" applyAlignment="1" applyProtection="1">
      <alignment/>
      <protection/>
    </xf>
    <xf numFmtId="0" fontId="9" fillId="0" borderId="11" xfId="0" applyFont="1" applyBorder="1" applyAlignment="1" applyProtection="1">
      <alignment/>
      <protection/>
    </xf>
    <xf numFmtId="170" fontId="0" fillId="0" borderId="19" xfId="0" applyNumberFormat="1" applyFont="1" applyBorder="1" applyAlignment="1">
      <alignment horizontal="right"/>
    </xf>
    <xf numFmtId="6" fontId="0" fillId="0" borderId="0" xfId="0" applyNumberFormat="1" applyFont="1" applyAlignment="1">
      <alignment/>
    </xf>
    <xf numFmtId="187" fontId="0" fillId="0" borderId="0" xfId="0" applyNumberFormat="1" applyFont="1" applyAlignment="1">
      <alignment/>
    </xf>
    <xf numFmtId="170" fontId="0" fillId="0" borderId="30" xfId="0" applyNumberFormat="1" applyFont="1" applyBorder="1" applyAlignment="1">
      <alignment horizontal="right"/>
    </xf>
    <xf numFmtId="6" fontId="26" fillId="0" borderId="90" xfId="0" applyNumberFormat="1" applyFont="1" applyBorder="1" applyAlignment="1">
      <alignment horizontal="right" wrapText="1"/>
    </xf>
    <xf numFmtId="6" fontId="10" fillId="0" borderId="19" xfId="0" applyNumberFormat="1" applyFont="1" applyBorder="1" applyAlignment="1">
      <alignment horizontal="right" wrapText="1"/>
    </xf>
    <xf numFmtId="170" fontId="10" fillId="0" borderId="0" xfId="0" applyNumberFormat="1" applyFont="1" applyBorder="1" applyAlignment="1" applyProtection="1">
      <alignment/>
      <protection/>
    </xf>
    <xf numFmtId="170" fontId="10" fillId="0" borderId="0" xfId="0" applyNumberFormat="1" applyFont="1" applyBorder="1" applyAlignment="1" applyProtection="1">
      <alignment/>
      <protection/>
    </xf>
    <xf numFmtId="170" fontId="0" fillId="0" borderId="0" xfId="0" applyNumberFormat="1" applyBorder="1" applyAlignment="1" applyProtection="1">
      <alignment horizontal="right" vertical="center"/>
      <protection/>
    </xf>
    <xf numFmtId="170" fontId="12" fillId="0" borderId="0" xfId="0" applyNumberFormat="1" applyFont="1" applyBorder="1" applyAlignment="1" applyProtection="1">
      <alignment/>
      <protection/>
    </xf>
    <xf numFmtId="170" fontId="14" fillId="0" borderId="0" xfId="0" applyNumberFormat="1" applyFont="1" applyBorder="1" applyAlignment="1" applyProtection="1">
      <alignment/>
      <protection/>
    </xf>
    <xf numFmtId="170" fontId="0" fillId="0" borderId="0" xfId="0" applyNumberFormat="1" applyFill="1" applyBorder="1" applyAlignment="1" applyProtection="1">
      <alignment/>
      <protection/>
    </xf>
    <xf numFmtId="170" fontId="0" fillId="0" borderId="19" xfId="0" applyNumberFormat="1" applyBorder="1" applyAlignment="1" applyProtection="1">
      <alignment/>
      <protection/>
    </xf>
    <xf numFmtId="170" fontId="0" fillId="0" borderId="25" xfId="0" applyNumberFormat="1" applyBorder="1" applyAlignment="1" applyProtection="1">
      <alignment/>
      <protection/>
    </xf>
    <xf numFmtId="170" fontId="0" fillId="0" borderId="27" xfId="0" applyNumberFormat="1" applyFill="1" applyBorder="1" applyAlignment="1" applyProtection="1">
      <alignment/>
      <protection/>
    </xf>
    <xf numFmtId="170" fontId="4" fillId="0" borderId="0" xfId="0" applyNumberFormat="1" applyFont="1" applyBorder="1" applyAlignment="1">
      <alignment horizontal="center" wrapText="1"/>
    </xf>
    <xf numFmtId="170" fontId="0" fillId="0" borderId="57" xfId="0" applyNumberFormat="1" applyFill="1" applyBorder="1" applyAlignment="1" applyProtection="1">
      <alignment/>
      <protection/>
    </xf>
    <xf numFmtId="170" fontId="7" fillId="0" borderId="57" xfId="0" applyNumberFormat="1" applyFont="1" applyFill="1" applyBorder="1" applyAlignment="1" applyProtection="1">
      <alignment/>
      <protection/>
    </xf>
    <xf numFmtId="170" fontId="10" fillId="0" borderId="0" xfId="0" applyNumberFormat="1" applyFont="1" applyBorder="1" applyAlignment="1" applyProtection="1">
      <alignment/>
      <protection/>
    </xf>
    <xf numFmtId="170" fontId="7" fillId="0" borderId="57" xfId="0" applyNumberFormat="1" applyFont="1" applyBorder="1" applyAlignment="1" applyProtection="1">
      <alignment/>
      <protection/>
    </xf>
    <xf numFmtId="164" fontId="4" fillId="0" borderId="0" xfId="45" applyNumberFormat="1" applyFont="1" applyBorder="1" applyAlignment="1" applyProtection="1">
      <alignment horizontal="center"/>
      <protection/>
    </xf>
    <xf numFmtId="10" fontId="10" fillId="0" borderId="17" xfId="0" applyNumberFormat="1" applyFont="1" applyBorder="1" applyAlignment="1" applyProtection="1">
      <alignment horizontal="right" indent="1"/>
      <protection/>
    </xf>
    <xf numFmtId="0" fontId="10" fillId="0" borderId="56" xfId="0" applyFont="1" applyBorder="1" applyAlignment="1" applyProtection="1">
      <alignment/>
      <protection/>
    </xf>
    <xf numFmtId="0" fontId="0" fillId="0" borderId="19" xfId="0" applyFont="1" applyFill="1" applyBorder="1" applyAlignment="1">
      <alignment horizontal="left"/>
    </xf>
    <xf numFmtId="0" fontId="0" fillId="0" borderId="19" xfId="0" applyFont="1" applyFill="1" applyBorder="1" applyAlignment="1">
      <alignment horizontal="right"/>
    </xf>
    <xf numFmtId="170" fontId="0" fillId="0" borderId="19" xfId="0" applyNumberFormat="1" applyFont="1" applyFill="1" applyBorder="1" applyAlignment="1">
      <alignment/>
    </xf>
    <xf numFmtId="0" fontId="0" fillId="0" borderId="58" xfId="0" applyFill="1" applyBorder="1" applyAlignment="1">
      <alignment/>
    </xf>
    <xf numFmtId="0" fontId="0" fillId="0" borderId="33" xfId="0" applyBorder="1" applyAlignment="1">
      <alignment/>
    </xf>
    <xf numFmtId="0" fontId="0" fillId="0" borderId="27" xfId="0" applyBorder="1" applyAlignment="1">
      <alignment/>
    </xf>
    <xf numFmtId="0" fontId="0" fillId="0" borderId="27" xfId="0" applyFont="1" applyBorder="1" applyAlignment="1">
      <alignment/>
    </xf>
    <xf numFmtId="0" fontId="0" fillId="0" borderId="27" xfId="0" applyFont="1" applyBorder="1" applyAlignment="1">
      <alignment horizontal="left"/>
    </xf>
    <xf numFmtId="0" fontId="0" fillId="0" borderId="27" xfId="0" applyFont="1" applyBorder="1" applyAlignment="1">
      <alignment horizontal="right"/>
    </xf>
    <xf numFmtId="170" fontId="0" fillId="0" borderId="27" xfId="0" applyNumberFormat="1" applyFont="1" applyBorder="1" applyAlignment="1">
      <alignment/>
    </xf>
    <xf numFmtId="0" fontId="0" fillId="0" borderId="35" xfId="0" applyBorder="1" applyAlignment="1">
      <alignment/>
    </xf>
    <xf numFmtId="0" fontId="4" fillId="0" borderId="91" xfId="0" applyFont="1" applyBorder="1" applyAlignment="1">
      <alignment/>
    </xf>
    <xf numFmtId="0" fontId="13" fillId="0" borderId="48" xfId="0" applyFont="1" applyBorder="1" applyAlignment="1">
      <alignment horizontal="center" wrapText="1"/>
    </xf>
    <xf numFmtId="170" fontId="13" fillId="0" borderId="45" xfId="0" applyNumberFormat="1" applyFont="1" applyBorder="1" applyAlignment="1">
      <alignment horizontal="right"/>
    </xf>
    <xf numFmtId="10" fontId="0" fillId="0" borderId="57" xfId="0" applyNumberFormat="1" applyBorder="1" applyAlignment="1" applyProtection="1">
      <alignment/>
      <protection/>
    </xf>
    <xf numFmtId="170" fontId="11" fillId="0" borderId="35" xfId="0" applyNumberFormat="1" applyFont="1" applyFill="1" applyBorder="1" applyAlignment="1" applyProtection="1">
      <alignment horizontal="right"/>
      <protection/>
    </xf>
    <xf numFmtId="170" fontId="13" fillId="0" borderId="45" xfId="0" applyNumberFormat="1" applyFont="1" applyBorder="1" applyAlignment="1">
      <alignment horizontal="left"/>
    </xf>
    <xf numFmtId="170" fontId="13" fillId="0" borderId="46" xfId="0" applyNumberFormat="1" applyFont="1" applyBorder="1" applyAlignment="1">
      <alignment horizontal="right"/>
    </xf>
    <xf numFmtId="170" fontId="13" fillId="0" borderId="44" xfId="0" applyNumberFormat="1" applyFont="1" applyBorder="1" applyAlignment="1">
      <alignment horizontal="left"/>
    </xf>
    <xf numFmtId="0" fontId="25" fillId="0" borderId="92" xfId="0" applyFont="1" applyBorder="1" applyAlignment="1">
      <alignment wrapText="1"/>
    </xf>
    <xf numFmtId="170" fontId="0" fillId="0" borderId="93" xfId="0" applyNumberFormat="1" applyFont="1" applyBorder="1" applyAlignment="1">
      <alignment horizontal="right"/>
    </xf>
    <xf numFmtId="0" fontId="4" fillId="0" borderId="0" xfId="0" applyFont="1" applyAlignment="1">
      <alignment horizontal="center" wrapText="1"/>
    </xf>
    <xf numFmtId="0" fontId="0" fillId="0" borderId="94" xfId="0" applyFont="1" applyFill="1" applyBorder="1" applyAlignment="1">
      <alignment/>
    </xf>
    <xf numFmtId="0" fontId="4" fillId="0" borderId="37" xfId="0" applyFont="1" applyFill="1" applyBorder="1" applyAlignment="1">
      <alignment horizontal="center"/>
    </xf>
    <xf numFmtId="170" fontId="4" fillId="0" borderId="37" xfId="0" applyNumberFormat="1" applyFont="1" applyFill="1" applyBorder="1" applyAlignment="1">
      <alignment horizontal="center"/>
    </xf>
    <xf numFmtId="1" fontId="4" fillId="0" borderId="95" xfId="0" applyNumberFormat="1" applyFont="1" applyBorder="1" applyAlignment="1">
      <alignment horizontal="center"/>
    </xf>
    <xf numFmtId="9" fontId="26" fillId="0" borderId="92" xfId="0" applyNumberFormat="1" applyFont="1" applyBorder="1" applyAlignment="1">
      <alignment horizontal="center" wrapText="1"/>
    </xf>
    <xf numFmtId="9" fontId="26" fillId="0" borderId="96" xfId="0" applyNumberFormat="1" applyFont="1" applyBorder="1" applyAlignment="1">
      <alignment horizontal="center" wrapText="1"/>
    </xf>
    <xf numFmtId="9" fontId="26" fillId="0" borderId="97" xfId="0" applyNumberFormat="1" applyFont="1" applyBorder="1" applyAlignment="1">
      <alignment horizontal="center" wrapText="1"/>
    </xf>
    <xf numFmtId="9" fontId="26" fillId="0" borderId="98" xfId="0" applyNumberFormat="1" applyFont="1" applyBorder="1" applyAlignment="1">
      <alignment horizontal="center" wrapText="1"/>
    </xf>
    <xf numFmtId="0" fontId="25" fillId="0" borderId="67" xfId="0" applyFont="1" applyBorder="1" applyAlignment="1">
      <alignment horizontal="center" wrapText="1"/>
    </xf>
    <xf numFmtId="9" fontId="26" fillId="0" borderId="99" xfId="0" applyNumberFormat="1" applyFont="1" applyBorder="1" applyAlignment="1">
      <alignment horizontal="center" wrapText="1"/>
    </xf>
    <xf numFmtId="9" fontId="26" fillId="0" borderId="100" xfId="0" applyNumberFormat="1" applyFont="1" applyBorder="1" applyAlignment="1">
      <alignment horizontal="center" wrapText="1"/>
    </xf>
    <xf numFmtId="9" fontId="26" fillId="0" borderId="101" xfId="0" applyNumberFormat="1" applyFont="1" applyBorder="1" applyAlignment="1">
      <alignment horizontal="center" wrapText="1"/>
    </xf>
    <xf numFmtId="9" fontId="26" fillId="0" borderId="58" xfId="0" applyNumberFormat="1" applyFont="1" applyBorder="1" applyAlignment="1">
      <alignment horizontal="center" wrapText="1"/>
    </xf>
    <xf numFmtId="170" fontId="0" fillId="0" borderId="57" xfId="0" applyNumberFormat="1" applyFont="1" applyBorder="1" applyAlignment="1">
      <alignment horizontal="right"/>
    </xf>
    <xf numFmtId="9" fontId="26" fillId="0" borderId="102" xfId="0" applyNumberFormat="1" applyFont="1" applyBorder="1" applyAlignment="1">
      <alignment horizontal="center" wrapText="1"/>
    </xf>
    <xf numFmtId="9" fontId="26" fillId="0" borderId="103" xfId="0" applyNumberFormat="1" applyFont="1" applyBorder="1" applyAlignment="1">
      <alignment horizontal="center" wrapText="1"/>
    </xf>
    <xf numFmtId="9" fontId="26" fillId="0" borderId="104" xfId="0" applyNumberFormat="1" applyFont="1" applyBorder="1" applyAlignment="1">
      <alignment horizontal="center" wrapText="1"/>
    </xf>
    <xf numFmtId="0" fontId="13" fillId="0" borderId="0" xfId="0" applyFont="1" applyBorder="1" applyAlignment="1">
      <alignment horizontal="center" wrapText="1"/>
    </xf>
    <xf numFmtId="169" fontId="13" fillId="0" borderId="0" xfId="0" applyNumberFormat="1" applyFont="1" applyBorder="1" applyAlignment="1">
      <alignment/>
    </xf>
    <xf numFmtId="169" fontId="13" fillId="0" borderId="0" xfId="0" applyNumberFormat="1" applyFont="1" applyBorder="1" applyAlignment="1">
      <alignment horizontal="right"/>
    </xf>
    <xf numFmtId="170" fontId="13" fillId="0" borderId="0" xfId="0" applyNumberFormat="1" applyFont="1" applyBorder="1" applyAlignment="1">
      <alignment/>
    </xf>
    <xf numFmtId="0" fontId="13" fillId="0" borderId="0" xfId="0" applyFont="1" applyBorder="1" applyAlignment="1">
      <alignment horizontal="center"/>
    </xf>
    <xf numFmtId="6" fontId="26" fillId="0" borderId="73" xfId="0" applyNumberFormat="1" applyFont="1" applyBorder="1" applyAlignment="1">
      <alignment horizontal="right" wrapText="1"/>
    </xf>
    <xf numFmtId="9" fontId="26" fillId="0" borderId="8" xfId="0" applyNumberFormat="1" applyFont="1" applyBorder="1" applyAlignment="1">
      <alignment horizontal="center" wrapText="1"/>
    </xf>
    <xf numFmtId="3" fontId="0" fillId="0" borderId="38" xfId="0" applyNumberFormat="1" applyFont="1" applyFill="1" applyBorder="1" applyAlignment="1" applyProtection="1">
      <alignment vertical="center"/>
      <protection/>
    </xf>
    <xf numFmtId="0" fontId="0" fillId="0" borderId="87" xfId="0" applyNumberFormat="1" applyFill="1" applyBorder="1" applyAlignment="1" applyProtection="1">
      <alignment horizontal="center"/>
      <protection/>
    </xf>
    <xf numFmtId="0" fontId="0" fillId="0" borderId="11" xfId="0" applyBorder="1" applyAlignment="1" applyProtection="1">
      <alignment horizontal="left"/>
      <protection/>
    </xf>
    <xf numFmtId="0" fontId="13" fillId="0" borderId="0" xfId="0" applyFont="1" applyFill="1" applyBorder="1" applyAlignment="1" applyProtection="1">
      <alignment/>
      <protection/>
    </xf>
    <xf numFmtId="0" fontId="13" fillId="0" borderId="17" xfId="0" applyFont="1" applyFill="1" applyBorder="1" applyAlignment="1" applyProtection="1">
      <alignment/>
      <protection/>
    </xf>
    <xf numFmtId="0" fontId="13" fillId="0" borderId="0" xfId="0" applyFont="1" applyBorder="1" applyAlignment="1" applyProtection="1">
      <alignment horizontal="center"/>
      <protection/>
    </xf>
    <xf numFmtId="0" fontId="13" fillId="0" borderId="0" xfId="0" applyFont="1" applyBorder="1" applyAlignment="1" applyProtection="1">
      <alignment horizontal="left"/>
      <protection/>
    </xf>
    <xf numFmtId="0" fontId="13" fillId="0" borderId="17" xfId="0" applyFont="1" applyBorder="1" applyAlignment="1" applyProtection="1">
      <alignment/>
      <protection/>
    </xf>
    <xf numFmtId="170" fontId="0" fillId="0" borderId="17" xfId="0" applyNumberFormat="1" applyFill="1" applyBorder="1" applyAlignment="1" applyProtection="1">
      <alignment/>
      <protection/>
    </xf>
    <xf numFmtId="170" fontId="0" fillId="0" borderId="19" xfId="0" applyNumberFormat="1" applyFont="1" applyFill="1" applyBorder="1" applyAlignment="1" applyProtection="1">
      <alignment/>
      <protection/>
    </xf>
    <xf numFmtId="170" fontId="0" fillId="0" borderId="0" xfId="0" applyNumberFormat="1" applyFont="1" applyFill="1" applyBorder="1" applyAlignment="1" applyProtection="1">
      <alignment/>
      <protection/>
    </xf>
    <xf numFmtId="10" fontId="7" fillId="0" borderId="57" xfId="0" applyNumberFormat="1" applyFont="1" applyBorder="1" applyAlignment="1" applyProtection="1">
      <alignment/>
      <protection/>
    </xf>
    <xf numFmtId="170" fontId="0" fillId="0" borderId="18" xfId="0" applyNumberFormat="1" applyFill="1" applyBorder="1" applyAlignment="1" applyProtection="1">
      <alignment/>
      <protection/>
    </xf>
    <xf numFmtId="170" fontId="0" fillId="0" borderId="20" xfId="0" applyNumberFormat="1" applyFill="1" applyBorder="1" applyAlignment="1" applyProtection="1">
      <alignment/>
      <protection/>
    </xf>
    <xf numFmtId="170" fontId="0" fillId="0" borderId="18" xfId="0" applyNumberFormat="1" applyFill="1" applyBorder="1" applyAlignment="1" applyProtection="1">
      <alignment horizontal="right"/>
      <protection/>
    </xf>
    <xf numFmtId="170" fontId="0" fillId="0" borderId="20" xfId="0" applyNumberFormat="1" applyFill="1" applyBorder="1" applyAlignment="1" applyProtection="1">
      <alignment horizontal="right"/>
      <protection/>
    </xf>
    <xf numFmtId="0" fontId="4" fillId="0" borderId="105" xfId="0" applyFont="1" applyBorder="1" applyAlignment="1" applyProtection="1">
      <alignment horizontal="center"/>
      <protection/>
    </xf>
    <xf numFmtId="169" fontId="4" fillId="0" borderId="106" xfId="0" applyNumberFormat="1" applyFont="1" applyFill="1" applyBorder="1" applyAlignment="1" applyProtection="1">
      <alignment horizontal="center"/>
      <protection/>
    </xf>
    <xf numFmtId="170" fontId="0" fillId="0" borderId="20" xfId="0" applyNumberFormat="1" applyBorder="1" applyAlignment="1" applyProtection="1">
      <alignment/>
      <protection/>
    </xf>
    <xf numFmtId="0"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right"/>
      <protection/>
    </xf>
    <xf numFmtId="10" fontId="0" fillId="0" borderId="0" xfId="0" applyNumberFormat="1" applyFont="1" applyFill="1" applyBorder="1" applyAlignment="1" applyProtection="1">
      <alignment horizontal="center"/>
      <protection/>
    </xf>
    <xf numFmtId="170" fontId="10" fillId="0" borderId="0" xfId="0" applyNumberFormat="1" applyFont="1" applyFill="1" applyBorder="1" applyAlignment="1" applyProtection="1">
      <alignment/>
      <protection/>
    </xf>
    <xf numFmtId="170" fontId="0" fillId="33" borderId="68" xfId="0" applyNumberFormat="1" applyFill="1" applyBorder="1" applyAlignment="1" applyProtection="1">
      <alignment horizontal="right"/>
      <protection locked="0"/>
    </xf>
    <xf numFmtId="170" fontId="0" fillId="33" borderId="60" xfId="45" applyNumberFormat="1" applyFont="1" applyFill="1" applyBorder="1" applyAlignment="1" applyProtection="1">
      <alignment horizontal="right"/>
      <protection locked="0"/>
    </xf>
    <xf numFmtId="170" fontId="0" fillId="33" borderId="74" xfId="0" applyNumberFormat="1" applyFill="1" applyBorder="1" applyAlignment="1" applyProtection="1">
      <alignment horizontal="right"/>
      <protection locked="0"/>
    </xf>
    <xf numFmtId="170" fontId="0" fillId="33" borderId="107" xfId="45" applyNumberFormat="1" applyFont="1" applyFill="1" applyBorder="1" applyAlignment="1" applyProtection="1">
      <alignment horizontal="right"/>
      <protection locked="0"/>
    </xf>
    <xf numFmtId="170" fontId="0" fillId="33" borderId="60" xfId="0" applyNumberFormat="1" applyFill="1" applyBorder="1" applyAlignment="1" applyProtection="1">
      <alignment horizontal="right"/>
      <protection locked="0"/>
    </xf>
    <xf numFmtId="170" fontId="0" fillId="33" borderId="108" xfId="0" applyNumberFormat="1" applyFill="1" applyBorder="1" applyAlignment="1" applyProtection="1">
      <alignment horizontal="right"/>
      <protection locked="0"/>
    </xf>
    <xf numFmtId="170" fontId="0" fillId="33" borderId="109" xfId="45" applyNumberFormat="1" applyFont="1" applyFill="1" applyBorder="1" applyAlignment="1" applyProtection="1">
      <alignment horizontal="right"/>
      <protection locked="0"/>
    </xf>
    <xf numFmtId="170" fontId="0" fillId="33" borderId="110" xfId="0" applyNumberFormat="1" applyFill="1" applyBorder="1" applyAlignment="1" applyProtection="1">
      <alignment horizontal="right"/>
      <protection locked="0"/>
    </xf>
    <xf numFmtId="170" fontId="0" fillId="33" borderId="111" xfId="45" applyNumberFormat="1" applyFont="1" applyFill="1" applyBorder="1" applyAlignment="1" applyProtection="1">
      <alignment horizontal="right"/>
      <protection locked="0"/>
    </xf>
    <xf numFmtId="170" fontId="0" fillId="33" borderId="75" xfId="0" applyNumberFormat="1" applyFill="1" applyBorder="1" applyAlignment="1" applyProtection="1">
      <alignment horizontal="right"/>
      <protection locked="0"/>
    </xf>
    <xf numFmtId="170" fontId="0" fillId="33" borderId="112" xfId="45" applyNumberFormat="1" applyFont="1" applyFill="1" applyBorder="1" applyAlignment="1" applyProtection="1">
      <alignment horizontal="right"/>
      <protection locked="0"/>
    </xf>
    <xf numFmtId="170" fontId="0" fillId="33" borderId="110" xfId="0" applyNumberFormat="1" applyFill="1" applyBorder="1" applyAlignment="1" applyProtection="1">
      <alignment/>
      <protection locked="0"/>
    </xf>
    <xf numFmtId="170" fontId="0" fillId="33" borderId="68" xfId="0" applyNumberFormat="1" applyFill="1" applyBorder="1" applyAlignment="1" applyProtection="1">
      <alignment/>
      <protection locked="0"/>
    </xf>
    <xf numFmtId="170" fontId="0" fillId="33" borderId="74" xfId="0" applyNumberFormat="1" applyFill="1" applyBorder="1" applyAlignment="1" applyProtection="1">
      <alignment/>
      <protection locked="0"/>
    </xf>
    <xf numFmtId="170" fontId="0" fillId="33" borderId="99" xfId="0" applyNumberFormat="1" applyFont="1" applyFill="1" applyBorder="1" applyAlignment="1" applyProtection="1">
      <alignment horizontal="right"/>
      <protection locked="0"/>
    </xf>
    <xf numFmtId="170" fontId="0" fillId="33" borderId="104" xfId="0" applyNumberFormat="1" applyFont="1" applyFill="1" applyBorder="1" applyAlignment="1" applyProtection="1">
      <alignment horizontal="right"/>
      <protection locked="0"/>
    </xf>
    <xf numFmtId="170" fontId="0" fillId="33" borderId="87" xfId="0" applyNumberFormat="1" applyFont="1" applyFill="1" applyBorder="1" applyAlignment="1" applyProtection="1">
      <alignment horizontal="right"/>
      <protection locked="0"/>
    </xf>
    <xf numFmtId="170" fontId="0" fillId="33" borderId="105" xfId="0" applyNumberFormat="1" applyFont="1" applyFill="1" applyBorder="1" applyAlignment="1" applyProtection="1">
      <alignment/>
      <protection locked="0"/>
    </xf>
    <xf numFmtId="170" fontId="0" fillId="33" borderId="88" xfId="0" applyNumberFormat="1" applyFont="1" applyFill="1" applyBorder="1" applyAlignment="1" applyProtection="1">
      <alignment/>
      <protection locked="0"/>
    </xf>
    <xf numFmtId="170" fontId="0" fillId="33" borderId="91" xfId="0" applyNumberFormat="1" applyFont="1" applyFill="1" applyBorder="1" applyAlignment="1" applyProtection="1">
      <alignment/>
      <protection locked="0"/>
    </xf>
    <xf numFmtId="170" fontId="0" fillId="33" borderId="89" xfId="0" applyNumberFormat="1" applyFont="1" applyFill="1" applyBorder="1" applyAlignment="1" applyProtection="1">
      <alignment/>
      <protection locked="0"/>
    </xf>
    <xf numFmtId="170" fontId="0" fillId="33" borderId="105" xfId="0" applyNumberFormat="1" applyFont="1" applyFill="1" applyBorder="1" applyAlignment="1" applyProtection="1">
      <alignment horizontal="right"/>
      <protection locked="0"/>
    </xf>
    <xf numFmtId="170" fontId="0" fillId="33" borderId="88" xfId="0" applyNumberFormat="1" applyFont="1" applyFill="1" applyBorder="1" applyAlignment="1" applyProtection="1">
      <alignment horizontal="right"/>
      <protection locked="0"/>
    </xf>
    <xf numFmtId="170" fontId="0" fillId="33" borderId="91" xfId="0" applyNumberFormat="1" applyFont="1" applyFill="1" applyBorder="1" applyAlignment="1" applyProtection="1">
      <alignment horizontal="right"/>
      <protection locked="0"/>
    </xf>
    <xf numFmtId="0" fontId="0" fillId="33" borderId="57" xfId="0" applyNumberFormat="1" applyFill="1" applyBorder="1" applyAlignment="1" applyProtection="1">
      <alignment horizontal="center"/>
      <protection locked="0"/>
    </xf>
    <xf numFmtId="170" fontId="0" fillId="33" borderId="57" xfId="0" applyNumberFormat="1" applyFill="1" applyBorder="1" applyAlignment="1" applyProtection="1">
      <alignment/>
      <protection locked="0"/>
    </xf>
    <xf numFmtId="170" fontId="0" fillId="33" borderId="101" xfId="0" applyNumberFormat="1" applyFill="1" applyBorder="1" applyAlignment="1" applyProtection="1">
      <alignment/>
      <protection locked="0"/>
    </xf>
    <xf numFmtId="170" fontId="0" fillId="33" borderId="87" xfId="0" applyNumberFormat="1" applyFill="1" applyBorder="1" applyAlignment="1" applyProtection="1">
      <alignment/>
      <protection locked="0"/>
    </xf>
    <xf numFmtId="170" fontId="0" fillId="33" borderId="113" xfId="0" applyNumberFormat="1" applyFill="1" applyBorder="1" applyAlignment="1" applyProtection="1">
      <alignment/>
      <protection locked="0"/>
    </xf>
    <xf numFmtId="170" fontId="0" fillId="33" borderId="99" xfId="0" applyNumberFormat="1" applyFill="1" applyBorder="1" applyAlignment="1" applyProtection="1">
      <alignment/>
      <protection locked="0"/>
    </xf>
    <xf numFmtId="170" fontId="0" fillId="33" borderId="57" xfId="0" applyNumberFormat="1" applyFill="1" applyBorder="1" applyAlignment="1" applyProtection="1">
      <alignment horizontal="right"/>
      <protection locked="0"/>
    </xf>
    <xf numFmtId="0" fontId="0" fillId="33" borderId="57" xfId="0" applyFill="1" applyBorder="1" applyAlignment="1" applyProtection="1">
      <alignment horizontal="center"/>
      <protection locked="0"/>
    </xf>
    <xf numFmtId="10" fontId="0" fillId="33" borderId="57" xfId="0" applyNumberFormat="1" applyFill="1" applyBorder="1" applyAlignment="1" applyProtection="1">
      <alignment/>
      <protection locked="0"/>
    </xf>
    <xf numFmtId="170" fontId="0" fillId="33" borderId="57" xfId="0" applyNumberFormat="1" applyFill="1" applyBorder="1" applyAlignment="1" applyProtection="1">
      <alignment horizontal="center"/>
      <protection locked="0"/>
    </xf>
    <xf numFmtId="170" fontId="0" fillId="33" borderId="49" xfId="0" applyNumberFormat="1" applyFont="1" applyFill="1" applyBorder="1" applyAlignment="1" applyProtection="1">
      <alignment vertical="center"/>
      <protection locked="0"/>
    </xf>
    <xf numFmtId="170" fontId="0" fillId="33" borderId="38" xfId="0" applyNumberFormat="1" applyFont="1" applyFill="1" applyBorder="1" applyAlignment="1" applyProtection="1">
      <alignment vertical="center"/>
      <protection locked="0"/>
    </xf>
    <xf numFmtId="10" fontId="0" fillId="33" borderId="49" xfId="0" applyNumberFormat="1" applyFont="1" applyFill="1" applyBorder="1" applyAlignment="1" applyProtection="1">
      <alignment vertical="center"/>
      <protection locked="0"/>
    </xf>
    <xf numFmtId="3" fontId="0" fillId="33" borderId="38" xfId="0" applyNumberFormat="1" applyFont="1" applyFill="1" applyBorder="1" applyAlignment="1" applyProtection="1">
      <alignment vertical="center"/>
      <protection locked="0"/>
    </xf>
    <xf numFmtId="3" fontId="0" fillId="33" borderId="49" xfId="0" applyNumberFormat="1" applyFont="1" applyFill="1" applyBorder="1" applyAlignment="1" applyProtection="1">
      <alignment vertical="center"/>
      <protection locked="0"/>
    </xf>
    <xf numFmtId="3" fontId="0" fillId="33" borderId="60" xfId="0" applyNumberFormat="1" applyFont="1" applyFill="1" applyBorder="1" applyAlignment="1" applyProtection="1">
      <alignment vertical="center"/>
      <protection locked="0"/>
    </xf>
    <xf numFmtId="9" fontId="0" fillId="33" borderId="57" xfId="0" applyNumberFormat="1" applyFill="1" applyBorder="1" applyAlignment="1" applyProtection="1">
      <alignment/>
      <protection locked="0"/>
    </xf>
    <xf numFmtId="170" fontId="0" fillId="33" borderId="113" xfId="45" applyNumberFormat="1" applyFont="1" applyFill="1" applyBorder="1" applyAlignment="1" applyProtection="1">
      <alignment/>
      <protection locked="0"/>
    </xf>
    <xf numFmtId="170" fontId="0" fillId="33" borderId="101" xfId="45" applyNumberFormat="1" applyFont="1" applyFill="1" applyBorder="1" applyAlignment="1" applyProtection="1">
      <alignment/>
      <protection locked="0"/>
    </xf>
    <xf numFmtId="170" fontId="0" fillId="33" borderId="104" xfId="45" applyNumberFormat="1" applyFont="1" applyFill="1" applyBorder="1" applyAlignment="1" applyProtection="1">
      <alignment/>
      <protection locked="0"/>
    </xf>
    <xf numFmtId="0" fontId="4" fillId="0" borderId="11" xfId="0" applyFont="1" applyBorder="1" applyAlignment="1">
      <alignment/>
    </xf>
    <xf numFmtId="0" fontId="13" fillId="0" borderId="39" xfId="0" applyFont="1" applyBorder="1" applyAlignment="1">
      <alignment horizontal="center" wrapText="1"/>
    </xf>
    <xf numFmtId="0" fontId="13" fillId="0" borderId="46" xfId="0" applyFont="1" applyBorder="1" applyAlignment="1">
      <alignment horizontal="center"/>
    </xf>
    <xf numFmtId="0" fontId="13" fillId="0" borderId="45" xfId="0" applyFont="1" applyBorder="1" applyAlignment="1">
      <alignment horizontal="right"/>
    </xf>
    <xf numFmtId="170" fontId="13" fillId="0" borderId="47" xfId="0" applyNumberFormat="1" applyFont="1" applyBorder="1" applyAlignment="1">
      <alignment/>
    </xf>
    <xf numFmtId="0" fontId="13" fillId="0" borderId="45" xfId="0" applyFont="1" applyBorder="1" applyAlignment="1">
      <alignment horizontal="center"/>
    </xf>
    <xf numFmtId="0" fontId="13" fillId="0" borderId="44" xfId="0" applyFont="1" applyBorder="1" applyAlignment="1">
      <alignment horizontal="right"/>
    </xf>
    <xf numFmtId="170" fontId="13" fillId="0" borderId="43" xfId="0" applyNumberFormat="1" applyFont="1" applyBorder="1" applyAlignment="1">
      <alignment/>
    </xf>
    <xf numFmtId="170" fontId="13" fillId="0" borderId="28" xfId="0" applyNumberFormat="1" applyFont="1" applyBorder="1" applyAlignment="1">
      <alignment horizontal="right"/>
    </xf>
    <xf numFmtId="170" fontId="13" fillId="0" borderId="41" xfId="0" applyNumberFormat="1" applyFont="1" applyBorder="1" applyAlignment="1">
      <alignment/>
    </xf>
    <xf numFmtId="170" fontId="7" fillId="0" borderId="19" xfId="0" applyNumberFormat="1" applyFont="1" applyBorder="1" applyAlignment="1" applyProtection="1">
      <alignment/>
      <protection/>
    </xf>
    <xf numFmtId="10" fontId="7" fillId="0" borderId="19" xfId="0" applyNumberFormat="1" applyFont="1" applyBorder="1" applyAlignment="1" applyProtection="1">
      <alignment/>
      <protection/>
    </xf>
    <xf numFmtId="10" fontId="7" fillId="0" borderId="17" xfId="0" applyNumberFormat="1" applyFont="1" applyBorder="1" applyAlignment="1" applyProtection="1">
      <alignment/>
      <protection/>
    </xf>
    <xf numFmtId="170" fontId="7" fillId="0" borderId="58" xfId="0" applyNumberFormat="1" applyFont="1" applyBorder="1" applyAlignment="1" applyProtection="1">
      <alignment/>
      <protection/>
    </xf>
    <xf numFmtId="170" fontId="10" fillId="0" borderId="57" xfId="0" applyNumberFormat="1" applyFont="1" applyBorder="1" applyAlignment="1" applyProtection="1">
      <alignment/>
      <protection/>
    </xf>
    <xf numFmtId="0" fontId="0" fillId="0" borderId="24" xfId="0" applyBorder="1" applyAlignment="1" applyProtection="1">
      <alignment horizontal="left"/>
      <protection/>
    </xf>
    <xf numFmtId="169" fontId="0" fillId="0" borderId="0" xfId="0" applyNumberFormat="1" applyFont="1" applyFill="1" applyBorder="1" applyAlignment="1" applyProtection="1">
      <alignment/>
      <protection/>
    </xf>
    <xf numFmtId="0" fontId="4" fillId="0" borderId="0" xfId="0" applyFont="1" applyAlignment="1" applyProtection="1">
      <alignment/>
      <protection/>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26" xfId="0" applyFont="1" applyBorder="1" applyAlignment="1" applyProtection="1">
      <alignment horizontal="center"/>
      <protection/>
    </xf>
    <xf numFmtId="0" fontId="0" fillId="0" borderId="42" xfId="0" applyBorder="1" applyAlignment="1" applyProtection="1">
      <alignment/>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42" xfId="0" applyFill="1" applyBorder="1" applyAlignment="1" applyProtection="1">
      <alignment/>
      <protection/>
    </xf>
    <xf numFmtId="0" fontId="0" fillId="0" borderId="42" xfId="0" applyBorder="1" applyAlignment="1" applyProtection="1">
      <alignment horizontal="right"/>
      <protection/>
    </xf>
    <xf numFmtId="0" fontId="0" fillId="0" borderId="0" xfId="0" applyFill="1" applyBorder="1" applyAlignment="1" applyProtection="1">
      <alignment horizontal="right" indent="1"/>
      <protection/>
    </xf>
    <xf numFmtId="0" fontId="0" fillId="0" borderId="17" xfId="0" applyFill="1" applyBorder="1" applyAlignment="1" applyProtection="1">
      <alignment/>
      <protection/>
    </xf>
    <xf numFmtId="49" fontId="0" fillId="0" borderId="0" xfId="0" applyNumberFormat="1" applyBorder="1" applyAlignment="1" applyProtection="1">
      <alignment/>
      <protection/>
    </xf>
    <xf numFmtId="14" fontId="0" fillId="0" borderId="0" xfId="0" applyNumberFormat="1" applyBorder="1" applyAlignment="1" applyProtection="1">
      <alignment/>
      <protection/>
    </xf>
    <xf numFmtId="0" fontId="0" fillId="0" borderId="114" xfId="0" applyBorder="1" applyAlignment="1" applyProtection="1">
      <alignment/>
      <protection/>
    </xf>
    <xf numFmtId="0" fontId="4" fillId="33" borderId="115" xfId="0" applyFont="1" applyFill="1" applyBorder="1" applyAlignment="1" applyProtection="1">
      <alignment horizontal="center"/>
      <protection locked="0"/>
    </xf>
    <xf numFmtId="14" fontId="0" fillId="33" borderId="49" xfId="0" applyNumberFormat="1" applyFill="1" applyBorder="1" applyAlignment="1" applyProtection="1">
      <alignment/>
      <protection locked="0"/>
    </xf>
    <xf numFmtId="181" fontId="0" fillId="33" borderId="49" xfId="0" applyNumberFormat="1" applyFill="1" applyBorder="1" applyAlignment="1" applyProtection="1">
      <alignment/>
      <protection locked="0"/>
    </xf>
    <xf numFmtId="0" fontId="0" fillId="33" borderId="38" xfId="0" applyFill="1" applyBorder="1" applyAlignment="1" applyProtection="1">
      <alignment horizontal="center"/>
      <protection locked="0"/>
    </xf>
    <xf numFmtId="0" fontId="0" fillId="33" borderId="49" xfId="0" applyFill="1" applyBorder="1" applyAlignment="1" applyProtection="1">
      <alignment horizontal="center"/>
      <protection locked="0"/>
    </xf>
    <xf numFmtId="181" fontId="0" fillId="33" borderId="49" xfId="0" applyNumberFormat="1" applyFill="1" applyBorder="1" applyAlignment="1" applyProtection="1">
      <alignment horizontal="right"/>
      <protection locked="0"/>
    </xf>
    <xf numFmtId="0" fontId="0" fillId="33" borderId="60" xfId="0" applyFill="1" applyBorder="1" applyAlignment="1" applyProtection="1">
      <alignment horizontal="center"/>
      <protection locked="0"/>
    </xf>
    <xf numFmtId="182" fontId="0" fillId="33" borderId="49" xfId="0" applyNumberFormat="1" applyFill="1" applyBorder="1" applyAlignment="1" applyProtection="1">
      <alignment/>
      <protection locked="0"/>
    </xf>
    <xf numFmtId="182" fontId="0" fillId="33" borderId="49" xfId="0" applyNumberFormat="1" applyFill="1" applyBorder="1" applyAlignment="1" applyProtection="1">
      <alignment/>
      <protection locked="0"/>
    </xf>
    <xf numFmtId="0" fontId="0" fillId="33" borderId="46" xfId="0" applyFill="1" applyBorder="1" applyAlignment="1" applyProtection="1">
      <alignment/>
      <protection locked="0"/>
    </xf>
    <xf numFmtId="0" fontId="0" fillId="33" borderId="49" xfId="0" applyFill="1" applyBorder="1" applyAlignment="1" applyProtection="1">
      <alignment/>
      <protection locked="0"/>
    </xf>
    <xf numFmtId="184" fontId="0" fillId="33" borderId="60" xfId="0" applyNumberFormat="1" applyFill="1" applyBorder="1" applyAlignment="1" applyProtection="1">
      <alignment/>
      <protection locked="0"/>
    </xf>
    <xf numFmtId="14" fontId="0" fillId="33" borderId="49" xfId="0" applyNumberFormat="1" applyFill="1" applyBorder="1" applyAlignment="1" applyProtection="1">
      <alignment/>
      <protection locked="0"/>
    </xf>
    <xf numFmtId="184" fontId="0" fillId="33" borderId="38" xfId="0" applyNumberFormat="1" applyFill="1" applyBorder="1" applyAlignment="1" applyProtection="1">
      <alignment/>
      <protection locked="0"/>
    </xf>
    <xf numFmtId="170" fontId="0" fillId="33" borderId="49" xfId="0" applyNumberFormat="1" applyFill="1" applyBorder="1" applyAlignment="1" applyProtection="1">
      <alignment/>
      <protection locked="0"/>
    </xf>
    <xf numFmtId="170" fontId="10" fillId="0" borderId="110" xfId="0" applyNumberFormat="1" applyFont="1" applyFill="1" applyBorder="1" applyAlignment="1" applyProtection="1">
      <alignment horizontal="right"/>
      <protection/>
    </xf>
    <xf numFmtId="170" fontId="10" fillId="0" borderId="111" xfId="45" applyNumberFormat="1" applyFont="1" applyFill="1" applyBorder="1" applyAlignment="1" applyProtection="1">
      <alignment horizontal="right"/>
      <protection/>
    </xf>
    <xf numFmtId="0" fontId="0" fillId="0" borderId="0" xfId="0" applyAlignment="1" applyProtection="1">
      <alignment horizontal="left"/>
      <protection/>
    </xf>
    <xf numFmtId="0" fontId="0" fillId="33" borderId="68" xfId="0" applyFill="1" applyBorder="1" applyAlignment="1" applyProtection="1">
      <alignment/>
      <protection locked="0"/>
    </xf>
    <xf numFmtId="0" fontId="0" fillId="33" borderId="60" xfId="0" applyFill="1" applyBorder="1" applyAlignment="1" applyProtection="1">
      <alignment/>
      <protection locked="0"/>
    </xf>
    <xf numFmtId="170" fontId="4" fillId="0" borderId="87" xfId="0" applyNumberFormat="1" applyFont="1" applyFill="1" applyBorder="1" applyAlignment="1" applyProtection="1">
      <alignment/>
      <protection/>
    </xf>
    <xf numFmtId="170" fontId="4" fillId="0" borderId="87" xfId="0" applyNumberFormat="1" applyFont="1" applyFill="1" applyBorder="1" applyAlignment="1" applyProtection="1">
      <alignment horizontal="right"/>
      <protection/>
    </xf>
    <xf numFmtId="0" fontId="10" fillId="0" borderId="0" xfId="0" applyFont="1" applyAlignment="1" applyProtection="1">
      <alignment/>
      <protection/>
    </xf>
    <xf numFmtId="170" fontId="0" fillId="0" borderId="29" xfId="0" applyNumberFormat="1" applyFill="1" applyBorder="1" applyAlignment="1" applyProtection="1">
      <alignment/>
      <protection/>
    </xf>
    <xf numFmtId="170" fontId="0" fillId="0" borderId="84" xfId="0" applyNumberFormat="1" applyFill="1" applyBorder="1" applyAlignment="1" applyProtection="1">
      <alignment horizontal="right"/>
      <protection/>
    </xf>
    <xf numFmtId="170" fontId="0" fillId="33" borderId="111" xfId="0" applyNumberFormat="1" applyFont="1" applyFill="1" applyBorder="1" applyAlignment="1" applyProtection="1">
      <alignment horizontal="right"/>
      <protection locked="0"/>
    </xf>
    <xf numFmtId="170" fontId="0" fillId="33" borderId="60" xfId="0" applyNumberFormat="1" applyFont="1" applyFill="1" applyBorder="1" applyAlignment="1" applyProtection="1">
      <alignment horizontal="right"/>
      <protection locked="0"/>
    </xf>
    <xf numFmtId="170" fontId="0" fillId="33" borderId="60" xfId="0" applyNumberFormat="1" applyFont="1" applyFill="1" applyBorder="1" applyAlignment="1" applyProtection="1">
      <alignment/>
      <protection locked="0"/>
    </xf>
    <xf numFmtId="170" fontId="0" fillId="33" borderId="107" xfId="0" applyNumberFormat="1" applyFont="1" applyFill="1" applyBorder="1" applyAlignment="1" applyProtection="1">
      <alignment/>
      <protection locked="0"/>
    </xf>
    <xf numFmtId="170" fontId="0" fillId="33" borderId="111" xfId="0" applyNumberFormat="1" applyFont="1" applyFill="1" applyBorder="1" applyAlignment="1" applyProtection="1">
      <alignment/>
      <protection locked="0"/>
    </xf>
    <xf numFmtId="170" fontId="0" fillId="33" borderId="60" xfId="0" applyNumberFormat="1" applyFont="1" applyFill="1" applyBorder="1" applyAlignment="1" applyProtection="1">
      <alignment/>
      <protection locked="0"/>
    </xf>
    <xf numFmtId="170" fontId="0" fillId="33" borderId="107" xfId="0" applyNumberFormat="1" applyFont="1" applyFill="1" applyBorder="1" applyAlignment="1" applyProtection="1">
      <alignment/>
      <protection locked="0"/>
    </xf>
    <xf numFmtId="170" fontId="0" fillId="33" borderId="89" xfId="0" applyNumberFormat="1" applyFont="1" applyFill="1" applyBorder="1" applyAlignment="1" applyProtection="1">
      <alignment horizontal="right"/>
      <protection locked="0"/>
    </xf>
    <xf numFmtId="170" fontId="0" fillId="33" borderId="107" xfId="0" applyNumberFormat="1" applyFont="1" applyFill="1" applyBorder="1" applyAlignment="1" applyProtection="1">
      <alignment horizontal="right"/>
      <protection locked="0"/>
    </xf>
    <xf numFmtId="170" fontId="0" fillId="33" borderId="57" xfId="0" applyNumberFormat="1" applyFill="1" applyBorder="1" applyAlignment="1" applyProtection="1">
      <alignment horizontal="right"/>
      <protection/>
    </xf>
    <xf numFmtId="0" fontId="0" fillId="0" borderId="17" xfId="0" applyFill="1" applyBorder="1" applyAlignment="1" applyProtection="1">
      <alignment horizontal="center"/>
      <protection/>
    </xf>
    <xf numFmtId="169" fontId="0" fillId="0" borderId="0" xfId="0" applyNumberFormat="1" applyFill="1" applyBorder="1" applyAlignment="1" applyProtection="1">
      <alignment horizontal="right"/>
      <protection/>
    </xf>
    <xf numFmtId="10" fontId="0" fillId="0" borderId="0" xfId="0" applyNumberFormat="1" applyFill="1" applyBorder="1" applyAlignment="1" applyProtection="1">
      <alignment/>
      <protection/>
    </xf>
    <xf numFmtId="0" fontId="11" fillId="0" borderId="0" xfId="0" applyFont="1" applyAlignment="1" applyProtection="1">
      <alignment/>
      <protection/>
    </xf>
    <xf numFmtId="0" fontId="13" fillId="0" borderId="17" xfId="0" applyFont="1" applyBorder="1" applyAlignment="1" applyProtection="1">
      <alignment wrapText="1"/>
      <protection/>
    </xf>
    <xf numFmtId="0" fontId="13" fillId="0" borderId="0" xfId="0" applyFont="1" applyAlignment="1" applyProtection="1">
      <alignment wrapText="1"/>
      <protection/>
    </xf>
    <xf numFmtId="0" fontId="0" fillId="33" borderId="57" xfId="0" applyFill="1" applyBorder="1" applyAlignment="1" applyProtection="1">
      <alignment horizontal="left"/>
      <protection locked="0"/>
    </xf>
    <xf numFmtId="170" fontId="0" fillId="0" borderId="0" xfId="0" applyNumberFormat="1" applyFill="1" applyBorder="1" applyAlignment="1" applyProtection="1">
      <alignment horizontal="center"/>
      <protection/>
    </xf>
    <xf numFmtId="170" fontId="0" fillId="0" borderId="22" xfId="0" applyNumberFormat="1" applyFill="1" applyBorder="1" applyAlignment="1" applyProtection="1">
      <alignment/>
      <protection/>
    </xf>
    <xf numFmtId="170" fontId="0" fillId="33" borderId="116" xfId="0" applyNumberFormat="1" applyFill="1" applyBorder="1" applyAlignment="1" applyProtection="1">
      <alignment/>
      <protection locked="0"/>
    </xf>
    <xf numFmtId="0" fontId="0" fillId="33" borderId="99" xfId="0" applyFont="1" applyFill="1" applyBorder="1" applyAlignment="1" applyProtection="1">
      <alignment/>
      <protection locked="0"/>
    </xf>
    <xf numFmtId="0" fontId="0" fillId="33" borderId="101" xfId="0" applyFont="1" applyFill="1" applyBorder="1" applyAlignment="1" applyProtection="1">
      <alignment/>
      <protection locked="0"/>
    </xf>
    <xf numFmtId="0" fontId="0" fillId="33" borderId="87" xfId="0" applyFont="1" applyFill="1" applyBorder="1" applyAlignment="1" applyProtection="1">
      <alignment/>
      <protection locked="0"/>
    </xf>
    <xf numFmtId="0" fontId="0" fillId="33" borderId="113" xfId="0" applyFont="1" applyFill="1" applyBorder="1" applyAlignment="1" applyProtection="1">
      <alignment/>
      <protection locked="0"/>
    </xf>
    <xf numFmtId="0" fontId="0" fillId="33" borderId="99" xfId="0" applyFont="1" applyFill="1" applyBorder="1" applyAlignment="1" applyProtection="1">
      <alignment horizontal="left"/>
      <protection locked="0"/>
    </xf>
    <xf numFmtId="0" fontId="0" fillId="33" borderId="101" xfId="0" applyFont="1" applyFill="1" applyBorder="1" applyAlignment="1" applyProtection="1">
      <alignment horizontal="left"/>
      <protection locked="0"/>
    </xf>
    <xf numFmtId="0" fontId="0" fillId="33" borderId="87" xfId="0" applyFont="1" applyFill="1" applyBorder="1" applyAlignment="1" applyProtection="1">
      <alignment horizontal="left"/>
      <protection locked="0"/>
    </xf>
    <xf numFmtId="0" fontId="0" fillId="33" borderId="113" xfId="0" applyFont="1" applyFill="1" applyBorder="1" applyAlignment="1" applyProtection="1">
      <alignment horizontal="left"/>
      <protection locked="0"/>
    </xf>
    <xf numFmtId="0" fontId="0" fillId="33" borderId="104" xfId="0" applyFont="1" applyFill="1" applyBorder="1" applyAlignment="1" applyProtection="1">
      <alignment horizontal="left"/>
      <protection locked="0"/>
    </xf>
    <xf numFmtId="170" fontId="0" fillId="33" borderId="113" xfId="0" applyNumberFormat="1" applyFont="1" applyFill="1" applyBorder="1" applyAlignment="1" applyProtection="1">
      <alignment/>
      <protection locked="0"/>
    </xf>
    <xf numFmtId="170" fontId="0" fillId="33" borderId="101" xfId="0" applyNumberFormat="1" applyFont="1" applyFill="1" applyBorder="1" applyAlignment="1" applyProtection="1">
      <alignment/>
      <protection locked="0"/>
    </xf>
    <xf numFmtId="170" fontId="0" fillId="33" borderId="87" xfId="0" applyNumberFormat="1" applyFont="1" applyFill="1" applyBorder="1" applyAlignment="1" applyProtection="1">
      <alignment/>
      <protection locked="0"/>
    </xf>
    <xf numFmtId="0" fontId="0" fillId="33" borderId="104" xfId="0" applyFont="1" applyFill="1" applyBorder="1" applyAlignment="1" applyProtection="1">
      <alignment/>
      <protection locked="0"/>
    </xf>
    <xf numFmtId="170" fontId="0" fillId="33" borderId="113" xfId="0" applyNumberFormat="1" applyFont="1" applyFill="1" applyBorder="1" applyAlignment="1" applyProtection="1">
      <alignment horizontal="right"/>
      <protection locked="0"/>
    </xf>
    <xf numFmtId="170" fontId="0" fillId="33" borderId="101" xfId="0" applyNumberFormat="1" applyFont="1" applyFill="1" applyBorder="1" applyAlignment="1" applyProtection="1">
      <alignment horizontal="right"/>
      <protection locked="0"/>
    </xf>
    <xf numFmtId="170" fontId="0" fillId="33" borderId="87" xfId="0" applyNumberFormat="1" applyFont="1" applyFill="1" applyBorder="1" applyAlignment="1" applyProtection="1">
      <alignment horizontal="right"/>
      <protection locked="0"/>
    </xf>
    <xf numFmtId="170" fontId="0" fillId="33" borderId="104" xfId="0" applyNumberFormat="1" applyFont="1" applyFill="1" applyBorder="1" applyAlignment="1" applyProtection="1">
      <alignment/>
      <protection locked="0"/>
    </xf>
    <xf numFmtId="0" fontId="0" fillId="33" borderId="99" xfId="0" applyFill="1" applyBorder="1" applyAlignment="1" applyProtection="1">
      <alignment/>
      <protection locked="0"/>
    </xf>
    <xf numFmtId="0" fontId="0" fillId="33" borderId="101" xfId="0" applyFill="1" applyBorder="1" applyAlignment="1" applyProtection="1">
      <alignment/>
      <protection locked="0"/>
    </xf>
    <xf numFmtId="0" fontId="0" fillId="33" borderId="87" xfId="0" applyFill="1" applyBorder="1" applyAlignment="1" applyProtection="1">
      <alignment/>
      <protection locked="0"/>
    </xf>
    <xf numFmtId="10" fontId="0" fillId="33" borderId="113" xfId="0" applyNumberFormat="1" applyFont="1" applyFill="1" applyBorder="1" applyAlignment="1" applyProtection="1">
      <alignment horizontal="right"/>
      <protection locked="0"/>
    </xf>
    <xf numFmtId="10" fontId="0" fillId="33" borderId="101" xfId="0" applyNumberFormat="1" applyFont="1" applyFill="1" applyBorder="1" applyAlignment="1" applyProtection="1">
      <alignment horizontal="right"/>
      <protection locked="0"/>
    </xf>
    <xf numFmtId="10" fontId="0" fillId="33" borderId="87" xfId="0" applyNumberFormat="1" applyFont="1" applyFill="1" applyBorder="1" applyAlignment="1" applyProtection="1">
      <alignment horizontal="right"/>
      <protection locked="0"/>
    </xf>
    <xf numFmtId="0" fontId="0" fillId="0" borderId="27" xfId="0" applyNumberFormat="1" applyFill="1" applyBorder="1" applyAlignment="1" applyProtection="1">
      <alignment horizontal="center"/>
      <protection/>
    </xf>
    <xf numFmtId="0" fontId="36" fillId="0" borderId="0" xfId="0" applyFont="1" applyAlignment="1" applyProtection="1">
      <alignment vertical="top" wrapText="1"/>
      <protection/>
    </xf>
    <xf numFmtId="0" fontId="36" fillId="0" borderId="0" xfId="0" applyFont="1" applyAlignment="1" applyProtection="1">
      <alignment horizontal="center" vertical="top" wrapText="1"/>
      <protection/>
    </xf>
    <xf numFmtId="170" fontId="0" fillId="33" borderId="57" xfId="0" applyNumberFormat="1" applyFont="1" applyFill="1" applyBorder="1" applyAlignment="1" applyProtection="1">
      <alignment/>
      <protection locked="0"/>
    </xf>
    <xf numFmtId="0" fontId="4" fillId="33" borderId="58" xfId="0" applyNumberFormat="1" applyFont="1" applyFill="1" applyBorder="1" applyAlignment="1" applyProtection="1">
      <alignment horizontal="center"/>
      <protection locked="0"/>
    </xf>
    <xf numFmtId="10" fontId="0" fillId="33" borderId="57" xfId="0" applyNumberFormat="1" applyFont="1" applyFill="1" applyBorder="1" applyAlignment="1" applyProtection="1">
      <alignment horizontal="center"/>
      <protection locked="0"/>
    </xf>
    <xf numFmtId="1" fontId="0" fillId="33" borderId="113" xfId="0" applyNumberFormat="1" applyFont="1" applyFill="1" applyBorder="1" applyAlignment="1" applyProtection="1">
      <alignment horizontal="center"/>
      <protection locked="0"/>
    </xf>
    <xf numFmtId="1" fontId="0" fillId="33" borderId="101" xfId="0" applyNumberFormat="1" applyFont="1" applyFill="1" applyBorder="1" applyAlignment="1" applyProtection="1">
      <alignment horizontal="center"/>
      <protection locked="0"/>
    </xf>
    <xf numFmtId="0" fontId="7" fillId="0" borderId="0" xfId="0" applyFont="1" applyFill="1" applyAlignment="1" applyProtection="1">
      <alignment/>
      <protection/>
    </xf>
    <xf numFmtId="0" fontId="9" fillId="0" borderId="0" xfId="0" applyFont="1" applyFill="1" applyBorder="1" applyAlignment="1" applyProtection="1">
      <alignment horizontal="left"/>
      <protection/>
    </xf>
    <xf numFmtId="0" fontId="0" fillId="0" borderId="0" xfId="0" applyFill="1" applyAlignment="1" applyProtection="1">
      <alignment/>
      <protection/>
    </xf>
    <xf numFmtId="10" fontId="0" fillId="33" borderId="57" xfId="0" applyNumberFormat="1" applyFont="1" applyFill="1" applyBorder="1" applyAlignment="1" applyProtection="1">
      <alignment/>
      <protection locked="0"/>
    </xf>
    <xf numFmtId="170" fontId="0" fillId="33" borderId="57" xfId="0" applyNumberFormat="1" applyFont="1" applyFill="1" applyBorder="1" applyAlignment="1" applyProtection="1">
      <alignment/>
      <protection locked="0"/>
    </xf>
    <xf numFmtId="0" fontId="4" fillId="0" borderId="0" xfId="0" applyFont="1" applyFill="1" applyBorder="1" applyAlignment="1" applyProtection="1">
      <alignment vertical="center"/>
      <protection/>
    </xf>
    <xf numFmtId="0" fontId="4" fillId="0" borderId="0" xfId="0" applyFont="1" applyAlignment="1" applyProtection="1">
      <alignment/>
      <protection/>
    </xf>
    <xf numFmtId="0" fontId="0" fillId="0" borderId="6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7"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38" xfId="0" applyFont="1" applyFill="1" applyBorder="1" applyAlignment="1" applyProtection="1">
      <alignment horizontal="center"/>
      <protection/>
    </xf>
    <xf numFmtId="0" fontId="0" fillId="0" borderId="0" xfId="0" applyFont="1" applyFill="1" applyBorder="1" applyAlignment="1" applyProtection="1">
      <alignment horizontal="right" vertical="center"/>
      <protection/>
    </xf>
    <xf numFmtId="0" fontId="0" fillId="0" borderId="49" xfId="0" applyFont="1" applyBorder="1" applyAlignment="1" applyProtection="1">
      <alignment horizontal="center"/>
      <protection/>
    </xf>
    <xf numFmtId="0" fontId="0" fillId="0" borderId="38" xfId="0" applyFont="1" applyFill="1" applyBorder="1" applyAlignment="1" applyProtection="1">
      <alignment horizontal="center" vertical="center"/>
      <protection/>
    </xf>
    <xf numFmtId="0" fontId="0" fillId="0" borderId="8"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28" xfId="0" applyFont="1" applyBorder="1" applyAlignment="1" applyProtection="1">
      <alignment horizontal="right"/>
      <protection/>
    </xf>
    <xf numFmtId="0" fontId="0" fillId="0" borderId="28" xfId="0" applyFont="1" applyBorder="1" applyAlignment="1" applyProtection="1">
      <alignment horizontal="center"/>
      <protection/>
    </xf>
    <xf numFmtId="170" fontId="0" fillId="0" borderId="49" xfId="0" applyNumberFormat="1" applyFont="1" applyFill="1" applyBorder="1" applyAlignment="1" applyProtection="1">
      <alignment vertical="center"/>
      <protection/>
    </xf>
    <xf numFmtId="0" fontId="0" fillId="0" borderId="28" xfId="0" applyFont="1" applyFill="1" applyBorder="1" applyAlignment="1" applyProtection="1">
      <alignment horizontal="center"/>
      <protection/>
    </xf>
    <xf numFmtId="0" fontId="0" fillId="0" borderId="86" xfId="0" applyFont="1" applyFill="1" applyBorder="1" applyAlignment="1" applyProtection="1">
      <alignment horizontal="center"/>
      <protection/>
    </xf>
    <xf numFmtId="0" fontId="0" fillId="0" borderId="8"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37" xfId="0" applyFont="1" applyFill="1" applyBorder="1" applyAlignment="1" applyProtection="1">
      <alignment horizontal="center"/>
      <protection/>
    </xf>
    <xf numFmtId="170" fontId="18" fillId="0" borderId="37" xfId="0" applyNumberFormat="1" applyFont="1" applyBorder="1" applyAlignment="1" applyProtection="1">
      <alignment horizontal="right"/>
      <protection/>
    </xf>
    <xf numFmtId="0" fontId="0" fillId="0" borderId="37" xfId="0" applyFont="1" applyFill="1" applyBorder="1" applyAlignment="1" applyProtection="1">
      <alignment horizontal="right"/>
      <protection/>
    </xf>
    <xf numFmtId="0" fontId="0" fillId="0" borderId="8" xfId="0" applyFont="1" applyBorder="1" applyAlignment="1" applyProtection="1">
      <alignment/>
      <protection/>
    </xf>
    <xf numFmtId="0" fontId="4" fillId="0" borderId="28" xfId="0" applyFont="1" applyBorder="1" applyAlignment="1" applyProtection="1">
      <alignment/>
      <protection/>
    </xf>
    <xf numFmtId="0" fontId="0" fillId="0" borderId="28" xfId="0" applyFont="1" applyBorder="1" applyAlignment="1" applyProtection="1">
      <alignment/>
      <protection/>
    </xf>
    <xf numFmtId="0" fontId="4" fillId="0" borderId="28" xfId="0" applyFont="1" applyBorder="1" applyAlignment="1" applyProtection="1">
      <alignment horizontal="right"/>
      <protection/>
    </xf>
    <xf numFmtId="170" fontId="0" fillId="0" borderId="28" xfId="0" applyNumberFormat="1" applyFont="1" applyBorder="1" applyAlignment="1" applyProtection="1">
      <alignment horizontal="right" wrapText="1"/>
      <protection/>
    </xf>
    <xf numFmtId="0" fontId="0" fillId="0" borderId="28" xfId="0" applyFont="1" applyFill="1" applyBorder="1" applyAlignment="1" applyProtection="1">
      <alignment horizontal="right"/>
      <protection/>
    </xf>
    <xf numFmtId="0" fontId="0" fillId="0" borderId="28" xfId="0" applyFont="1" applyBorder="1" applyAlignment="1" applyProtection="1">
      <alignment horizontal="right" wrapText="1"/>
      <protection/>
    </xf>
    <xf numFmtId="0" fontId="0" fillId="0" borderId="0" xfId="0" applyFont="1" applyFill="1" applyBorder="1" applyAlignment="1" applyProtection="1">
      <alignment wrapText="1"/>
      <protection/>
    </xf>
    <xf numFmtId="0" fontId="0" fillId="0" borderId="8" xfId="0" applyFont="1" applyBorder="1" applyAlignment="1" applyProtection="1">
      <alignment wrapText="1"/>
      <protection/>
    </xf>
    <xf numFmtId="0" fontId="0" fillId="0" borderId="0" xfId="0" applyFont="1" applyAlignment="1" applyProtection="1">
      <alignment wrapText="1"/>
      <protection/>
    </xf>
    <xf numFmtId="0" fontId="4" fillId="0" borderId="28" xfId="0" applyFont="1" applyFill="1" applyBorder="1" applyAlignment="1" applyProtection="1">
      <alignment horizontal="right"/>
      <protection/>
    </xf>
    <xf numFmtId="170" fontId="17" fillId="0" borderId="49" xfId="0" applyNumberFormat="1" applyFont="1" applyBorder="1" applyAlignment="1" applyProtection="1">
      <alignment vertical="center"/>
      <protection/>
    </xf>
    <xf numFmtId="170" fontId="17" fillId="0" borderId="38" xfId="0" applyNumberFormat="1" applyFont="1" applyBorder="1" applyAlignment="1" applyProtection="1">
      <alignment vertical="center"/>
      <protection/>
    </xf>
    <xf numFmtId="170" fontId="17" fillId="0" borderId="28" xfId="0" applyNumberFormat="1" applyFont="1" applyFill="1" applyBorder="1" applyAlignment="1" applyProtection="1">
      <alignment vertical="center"/>
      <protection/>
    </xf>
    <xf numFmtId="0" fontId="0" fillId="0" borderId="28" xfId="0" applyFont="1" applyFill="1" applyBorder="1" applyAlignment="1" applyProtection="1">
      <alignment/>
      <protection/>
    </xf>
    <xf numFmtId="0" fontId="0" fillId="0" borderId="40" xfId="0" applyFont="1" applyBorder="1" applyAlignment="1" applyProtection="1">
      <alignment/>
      <protection/>
    </xf>
    <xf numFmtId="0" fontId="4" fillId="0" borderId="0" xfId="0" applyFont="1" applyBorder="1" applyAlignment="1" applyProtection="1">
      <alignment horizontal="right"/>
      <protection/>
    </xf>
    <xf numFmtId="0" fontId="0" fillId="0" borderId="42" xfId="0" applyFont="1" applyBorder="1" applyAlignment="1" applyProtection="1">
      <alignment/>
      <protection/>
    </xf>
    <xf numFmtId="0" fontId="0" fillId="0" borderId="58" xfId="0" applyFont="1" applyBorder="1" applyAlignment="1" applyProtection="1">
      <alignment/>
      <protection/>
    </xf>
    <xf numFmtId="170" fontId="17" fillId="0" borderId="0" xfId="0" applyNumberFormat="1" applyFont="1" applyBorder="1" applyAlignment="1" applyProtection="1">
      <alignment vertical="center"/>
      <protection/>
    </xf>
    <xf numFmtId="0" fontId="0" fillId="0" borderId="24" xfId="0" applyFont="1" applyBorder="1" applyAlignment="1" applyProtection="1">
      <alignment/>
      <protection/>
    </xf>
    <xf numFmtId="0" fontId="4" fillId="0" borderId="118" xfId="0" applyFont="1" applyFill="1" applyBorder="1" applyAlignment="1" applyProtection="1">
      <alignment/>
      <protection/>
    </xf>
    <xf numFmtId="0" fontId="0" fillId="0" borderId="118" xfId="0" applyFont="1" applyBorder="1" applyAlignment="1" applyProtection="1">
      <alignment horizontal="right"/>
      <protection/>
    </xf>
    <xf numFmtId="0" fontId="0" fillId="0" borderId="118" xfId="0" applyFont="1" applyFill="1" applyBorder="1" applyAlignment="1" applyProtection="1">
      <alignment horizontal="center"/>
      <protection/>
    </xf>
    <xf numFmtId="170" fontId="0" fillId="0" borderId="118" xfId="0" applyNumberFormat="1" applyFont="1" applyBorder="1" applyAlignment="1" applyProtection="1">
      <alignment vertical="center"/>
      <protection/>
    </xf>
    <xf numFmtId="0" fontId="0" fillId="0" borderId="118" xfId="0" applyFont="1" applyBorder="1" applyAlignment="1" applyProtection="1">
      <alignment/>
      <protection/>
    </xf>
    <xf numFmtId="0" fontId="0" fillId="0" borderId="26" xfId="0" applyFont="1" applyBorder="1" applyAlignment="1" applyProtection="1">
      <alignment/>
      <protection/>
    </xf>
    <xf numFmtId="0" fontId="0" fillId="0" borderId="11" xfId="0" applyFont="1" applyBorder="1" applyAlignment="1" applyProtection="1">
      <alignment/>
      <protection/>
    </xf>
    <xf numFmtId="0" fontId="0" fillId="0" borderId="0" xfId="0" applyFont="1" applyFill="1" applyBorder="1" applyAlignment="1" applyProtection="1">
      <alignment horizontal="left"/>
      <protection/>
    </xf>
    <xf numFmtId="0" fontId="0" fillId="0" borderId="17" xfId="0" applyFont="1" applyBorder="1" applyAlignment="1" applyProtection="1">
      <alignment/>
      <protection/>
    </xf>
    <xf numFmtId="0" fontId="11" fillId="0" borderId="0" xfId="0" applyFont="1" applyAlignment="1" applyProtection="1">
      <alignment/>
      <protection/>
    </xf>
    <xf numFmtId="0" fontId="0" fillId="0" borderId="0" xfId="0" applyFont="1" applyBorder="1" applyAlignment="1" applyProtection="1">
      <alignment wrapText="1"/>
      <protection/>
    </xf>
    <xf numFmtId="0" fontId="0" fillId="0" borderId="48"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19" xfId="0" applyFont="1" applyFill="1" applyBorder="1" applyAlignment="1" applyProtection="1">
      <alignment/>
      <protection/>
    </xf>
    <xf numFmtId="0" fontId="0" fillId="0" borderId="19" xfId="0" applyFont="1" applyBorder="1" applyAlignment="1" applyProtection="1">
      <alignment horizontal="center"/>
      <protection/>
    </xf>
    <xf numFmtId="170" fontId="0" fillId="0" borderId="90" xfId="0" applyNumberFormat="1" applyFont="1" applyBorder="1" applyAlignment="1" applyProtection="1">
      <alignment vertical="center"/>
      <protection/>
    </xf>
    <xf numFmtId="0" fontId="0" fillId="0" borderId="19" xfId="0" applyFont="1" applyBorder="1" applyAlignment="1" applyProtection="1">
      <alignment horizontal="right"/>
      <protection/>
    </xf>
    <xf numFmtId="0" fontId="0" fillId="0" borderId="20" xfId="0" applyFont="1" applyBorder="1" applyAlignment="1" applyProtection="1">
      <alignment/>
      <protection/>
    </xf>
    <xf numFmtId="0" fontId="0" fillId="0" borderId="25" xfId="0" applyFont="1" applyBorder="1" applyAlignment="1" applyProtection="1">
      <alignment/>
      <protection/>
    </xf>
    <xf numFmtId="0" fontId="0" fillId="0" borderId="25" xfId="0" applyFont="1" applyBorder="1" applyAlignment="1" applyProtection="1">
      <alignment horizontal="center"/>
      <protection/>
    </xf>
    <xf numFmtId="170" fontId="0" fillId="0" borderId="25" xfId="0" applyNumberFormat="1" applyFont="1" applyBorder="1" applyAlignment="1" applyProtection="1">
      <alignment vertical="center"/>
      <protection/>
    </xf>
    <xf numFmtId="0" fontId="0" fillId="0" borderId="25" xfId="0" applyFont="1" applyFill="1" applyBorder="1" applyAlignment="1" applyProtection="1">
      <alignment/>
      <protection/>
    </xf>
    <xf numFmtId="0" fontId="0" fillId="0" borderId="37" xfId="0" applyFont="1" applyBorder="1" applyAlignment="1" applyProtection="1">
      <alignment/>
      <protection/>
    </xf>
    <xf numFmtId="0" fontId="0" fillId="0" borderId="37" xfId="0" applyFont="1" applyBorder="1" applyAlignment="1" applyProtection="1">
      <alignment horizontal="center"/>
      <protection/>
    </xf>
    <xf numFmtId="0" fontId="0" fillId="0" borderId="37" xfId="0" applyFont="1" applyFill="1" applyBorder="1" applyAlignment="1" applyProtection="1">
      <alignment/>
      <protection/>
    </xf>
    <xf numFmtId="10" fontId="17" fillId="0" borderId="73" xfId="0" applyNumberFormat="1" applyFont="1" applyBorder="1" applyAlignment="1" applyProtection="1">
      <alignment/>
      <protection/>
    </xf>
    <xf numFmtId="0" fontId="7" fillId="0" borderId="0" xfId="0" applyFont="1" applyFill="1" applyBorder="1" applyAlignment="1" applyProtection="1">
      <alignment horizontal="left"/>
      <protection/>
    </xf>
    <xf numFmtId="0" fontId="4" fillId="0" borderId="28"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center"/>
      <protection/>
    </xf>
    <xf numFmtId="10" fontId="0" fillId="0" borderId="49" xfId="0" applyNumberFormat="1" applyFont="1" applyFill="1" applyBorder="1" applyAlignment="1" applyProtection="1">
      <alignment horizontal="right"/>
      <protection/>
    </xf>
    <xf numFmtId="10" fontId="0" fillId="0" borderId="38" xfId="0" applyNumberFormat="1" applyFont="1" applyFill="1" applyBorder="1" applyAlignment="1" applyProtection="1">
      <alignment horizontal="right"/>
      <protection/>
    </xf>
    <xf numFmtId="170" fontId="0" fillId="0" borderId="49" xfId="0" applyNumberFormat="1" applyFont="1" applyBorder="1" applyAlignment="1" applyProtection="1">
      <alignment/>
      <protection/>
    </xf>
    <xf numFmtId="170" fontId="0" fillId="0" borderId="38" xfId="0" applyNumberFormat="1" applyFont="1" applyBorder="1" applyAlignment="1" applyProtection="1">
      <alignment/>
      <protection/>
    </xf>
    <xf numFmtId="170" fontId="0" fillId="0" borderId="38" xfId="0" applyNumberFormat="1" applyFont="1" applyFill="1" applyBorder="1" applyAlignment="1" applyProtection="1">
      <alignment vertical="center"/>
      <protection/>
    </xf>
    <xf numFmtId="10" fontId="0" fillId="0" borderId="0" xfId="0" applyNumberFormat="1" applyFont="1" applyAlignment="1" applyProtection="1">
      <alignment/>
      <protection/>
    </xf>
    <xf numFmtId="0" fontId="4" fillId="0" borderId="0" xfId="0" applyFont="1" applyAlignment="1" applyProtection="1">
      <alignment horizontal="right"/>
      <protection/>
    </xf>
    <xf numFmtId="170" fontId="17" fillId="0" borderId="49" xfId="0" applyNumberFormat="1" applyFont="1" applyFill="1" applyBorder="1" applyAlignment="1" applyProtection="1">
      <alignment vertical="center"/>
      <protection/>
    </xf>
    <xf numFmtId="170" fontId="17" fillId="0" borderId="60" xfId="0" applyNumberFormat="1" applyFont="1" applyFill="1" applyBorder="1" applyAlignment="1" applyProtection="1">
      <alignment vertical="center"/>
      <protection/>
    </xf>
    <xf numFmtId="170" fontId="0" fillId="0" borderId="0" xfId="0" applyNumberFormat="1" applyFont="1" applyAlignment="1" applyProtection="1">
      <alignment/>
      <protection/>
    </xf>
    <xf numFmtId="0" fontId="4" fillId="0" borderId="19" xfId="0" applyFont="1" applyBorder="1" applyAlignment="1" applyProtection="1">
      <alignment horizontal="right"/>
      <protection/>
    </xf>
    <xf numFmtId="0" fontId="0" fillId="0" borderId="67" xfId="0" applyFont="1" applyBorder="1" applyAlignment="1" applyProtection="1">
      <alignment/>
      <protection/>
    </xf>
    <xf numFmtId="0" fontId="4" fillId="0" borderId="118" xfId="0" applyFont="1" applyBorder="1" applyAlignment="1" applyProtection="1">
      <alignment/>
      <protection/>
    </xf>
    <xf numFmtId="0" fontId="4" fillId="0" borderId="118" xfId="0" applyFont="1" applyBorder="1" applyAlignment="1" applyProtection="1">
      <alignment horizontal="left"/>
      <protection/>
    </xf>
    <xf numFmtId="170" fontId="0" fillId="0" borderId="118" xfId="0" applyNumberFormat="1" applyFont="1" applyFill="1" applyBorder="1" applyAlignment="1" applyProtection="1">
      <alignment vertical="center"/>
      <protection/>
    </xf>
    <xf numFmtId="0" fontId="0" fillId="0" borderId="118" xfId="0" applyFont="1" applyFill="1" applyBorder="1" applyAlignment="1" applyProtection="1">
      <alignment/>
      <protection/>
    </xf>
    <xf numFmtId="0" fontId="0" fillId="0" borderId="118" xfId="0" applyFont="1" applyBorder="1" applyAlignment="1" applyProtection="1">
      <alignment horizontal="center"/>
      <protection/>
    </xf>
    <xf numFmtId="170" fontId="0" fillId="0" borderId="28" xfId="0" applyNumberFormat="1" applyFont="1" applyFill="1" applyBorder="1" applyAlignment="1" applyProtection="1">
      <alignment vertical="center"/>
      <protection/>
    </xf>
    <xf numFmtId="170" fontId="0" fillId="0" borderId="32" xfId="0" applyNumberFormat="1" applyFont="1" applyFill="1" applyBorder="1" applyAlignment="1" applyProtection="1">
      <alignment vertical="center"/>
      <protection/>
    </xf>
    <xf numFmtId="170" fontId="0" fillId="0" borderId="0" xfId="0" applyNumberFormat="1" applyFont="1" applyFill="1" applyAlignment="1" applyProtection="1">
      <alignment/>
      <protection/>
    </xf>
    <xf numFmtId="170" fontId="0" fillId="0" borderId="3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protection/>
    </xf>
    <xf numFmtId="0" fontId="4" fillId="0" borderId="0" xfId="0" applyFont="1" applyFill="1" applyBorder="1" applyAlignment="1" applyProtection="1">
      <alignment/>
      <protection/>
    </xf>
    <xf numFmtId="3" fontId="0" fillId="0" borderId="49" xfId="0" applyNumberFormat="1" applyFont="1" applyFill="1" applyBorder="1" applyAlignment="1" applyProtection="1">
      <alignment vertical="center"/>
      <protection/>
    </xf>
    <xf numFmtId="170" fontId="17" fillId="0" borderId="38" xfId="0" applyNumberFormat="1" applyFont="1" applyFill="1" applyBorder="1" applyAlignment="1" applyProtection="1">
      <alignment vertical="center"/>
      <protection/>
    </xf>
    <xf numFmtId="170" fontId="18" fillId="0" borderId="28" xfId="0" applyNumberFormat="1" applyFont="1" applyFill="1" applyBorder="1" applyAlignment="1" applyProtection="1">
      <alignment vertical="center"/>
      <protection/>
    </xf>
    <xf numFmtId="10" fontId="17" fillId="0" borderId="49" xfId="0" applyNumberFormat="1" applyFont="1" applyBorder="1" applyAlignment="1" applyProtection="1">
      <alignment/>
      <protection/>
    </xf>
    <xf numFmtId="10" fontId="17" fillId="0" borderId="19" xfId="0" applyNumberFormat="1" applyFont="1" applyBorder="1" applyAlignment="1" applyProtection="1">
      <alignment/>
      <protection/>
    </xf>
    <xf numFmtId="3" fontId="0" fillId="0" borderId="49" xfId="0" applyNumberFormat="1" applyFont="1" applyFill="1" applyBorder="1" applyAlignment="1" applyProtection="1">
      <alignment horizontal="center" vertical="center"/>
      <protection/>
    </xf>
    <xf numFmtId="3" fontId="0" fillId="0" borderId="60" xfId="0" applyNumberFormat="1" applyFont="1" applyFill="1" applyBorder="1" applyAlignment="1" applyProtection="1">
      <alignment horizontal="center" vertical="center"/>
      <protection/>
    </xf>
    <xf numFmtId="0" fontId="10" fillId="0" borderId="0" xfId="0" applyFont="1" applyBorder="1" applyAlignment="1" applyProtection="1">
      <alignment/>
      <protection/>
    </xf>
    <xf numFmtId="170" fontId="17" fillId="0" borderId="49"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vertical="center"/>
      <protection/>
    </xf>
    <xf numFmtId="170" fontId="0" fillId="0" borderId="48" xfId="0" applyNumberFormat="1" applyFont="1" applyFill="1" applyBorder="1" applyAlignment="1" applyProtection="1">
      <alignment vertical="center"/>
      <protection/>
    </xf>
    <xf numFmtId="170" fontId="0" fillId="0" borderId="86" xfId="0" applyNumberFormat="1" applyFont="1" applyFill="1" applyBorder="1" applyAlignment="1" applyProtection="1">
      <alignment vertical="center"/>
      <protection/>
    </xf>
    <xf numFmtId="170" fontId="17" fillId="0" borderId="49" xfId="0" applyNumberFormat="1" applyFont="1" applyBorder="1" applyAlignment="1" applyProtection="1">
      <alignment horizontal="right"/>
      <protection/>
    </xf>
    <xf numFmtId="0" fontId="4" fillId="0" borderId="66" xfId="0" applyFont="1" applyBorder="1" applyAlignment="1" applyProtection="1">
      <alignment/>
      <protection/>
    </xf>
    <xf numFmtId="0" fontId="4" fillId="0" borderId="23" xfId="0" applyFont="1" applyBorder="1" applyAlignment="1" applyProtection="1">
      <alignment horizontal="right"/>
      <protection/>
    </xf>
    <xf numFmtId="0" fontId="0" fillId="0" borderId="23" xfId="0" applyFont="1" applyFill="1" applyBorder="1" applyAlignment="1" applyProtection="1">
      <alignment horizontal="center"/>
      <protection/>
    </xf>
    <xf numFmtId="170" fontId="17" fillId="0" borderId="119" xfId="0" applyNumberFormat="1" applyFont="1" applyFill="1" applyBorder="1" applyAlignment="1" applyProtection="1">
      <alignment vertical="center"/>
      <protection/>
    </xf>
    <xf numFmtId="0" fontId="0" fillId="0" borderId="120" xfId="0" applyFont="1" applyBorder="1" applyAlignment="1" applyProtection="1">
      <alignment/>
      <protection/>
    </xf>
    <xf numFmtId="170" fontId="17" fillId="0" borderId="121" xfId="0" applyNumberFormat="1" applyFont="1" applyFill="1" applyBorder="1" applyAlignment="1" applyProtection="1">
      <alignment vertical="center"/>
      <protection/>
    </xf>
    <xf numFmtId="170" fontId="0" fillId="0" borderId="0" xfId="0" applyNumberFormat="1" applyFont="1" applyBorder="1" applyAlignment="1" applyProtection="1">
      <alignment vertical="center"/>
      <protection/>
    </xf>
    <xf numFmtId="170" fontId="0" fillId="0" borderId="28" xfId="0" applyNumberFormat="1" applyFont="1" applyBorder="1" applyAlignment="1" applyProtection="1">
      <alignment vertical="center"/>
      <protection/>
    </xf>
    <xf numFmtId="170" fontId="17" fillId="0" borderId="44" xfId="0" applyNumberFormat="1" applyFont="1" applyBorder="1" applyAlignment="1" applyProtection="1">
      <alignment vertical="center"/>
      <protection/>
    </xf>
    <xf numFmtId="170" fontId="17" fillId="0" borderId="36" xfId="0" applyNumberFormat="1" applyFont="1" applyBorder="1" applyAlignment="1" applyProtection="1">
      <alignment vertical="center"/>
      <protection/>
    </xf>
    <xf numFmtId="0" fontId="0" fillId="0" borderId="122" xfId="0" applyFont="1" applyBorder="1" applyAlignment="1" applyProtection="1">
      <alignment/>
      <protection/>
    </xf>
    <xf numFmtId="0" fontId="0" fillId="0" borderId="7" xfId="0" applyFont="1" applyBorder="1" applyAlignment="1" applyProtection="1">
      <alignment/>
      <protection/>
    </xf>
    <xf numFmtId="0" fontId="0" fillId="0" borderId="7" xfId="0" applyFont="1" applyBorder="1" applyAlignment="1" applyProtection="1">
      <alignment horizontal="center"/>
      <protection/>
    </xf>
    <xf numFmtId="170" fontId="18" fillId="0" borderId="49" xfId="0" applyNumberFormat="1" applyFont="1" applyFill="1" applyBorder="1" applyAlignment="1" applyProtection="1">
      <alignment vertical="center"/>
      <protection/>
    </xf>
    <xf numFmtId="170" fontId="0" fillId="0" borderId="19" xfId="0" applyNumberFormat="1" applyFont="1" applyBorder="1" applyAlignment="1" applyProtection="1">
      <alignment vertical="center"/>
      <protection/>
    </xf>
    <xf numFmtId="170" fontId="18" fillId="0" borderId="46" xfId="0" applyNumberFormat="1" applyFont="1" applyBorder="1" applyAlignment="1" applyProtection="1">
      <alignment/>
      <protection/>
    </xf>
    <xf numFmtId="10" fontId="0" fillId="0" borderId="46" xfId="0" applyNumberFormat="1" applyFont="1" applyFill="1" applyBorder="1" applyAlignment="1" applyProtection="1">
      <alignment/>
      <protection/>
    </xf>
    <xf numFmtId="10" fontId="0" fillId="0" borderId="40" xfId="0" applyNumberFormat="1" applyFont="1" applyFill="1" applyBorder="1" applyAlignment="1" applyProtection="1">
      <alignment/>
      <protection/>
    </xf>
    <xf numFmtId="0" fontId="0" fillId="0" borderId="49" xfId="0" applyFont="1" applyFill="1" applyBorder="1" applyAlignment="1" applyProtection="1">
      <alignment/>
      <protection/>
    </xf>
    <xf numFmtId="0" fontId="0" fillId="0" borderId="38" xfId="0" applyFont="1" applyFill="1" applyBorder="1" applyAlignment="1" applyProtection="1">
      <alignment/>
      <protection/>
    </xf>
    <xf numFmtId="170" fontId="0" fillId="0" borderId="49" xfId="0" applyNumberFormat="1" applyFont="1" applyFill="1" applyBorder="1" applyAlignment="1" applyProtection="1">
      <alignment/>
      <protection/>
    </xf>
    <xf numFmtId="170" fontId="0" fillId="0" borderId="38" xfId="0" applyNumberFormat="1" applyFont="1" applyFill="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horizontal="center"/>
      <protection/>
    </xf>
    <xf numFmtId="170" fontId="0" fillId="0" borderId="22" xfId="0" applyNumberFormat="1" applyFont="1" applyFill="1" applyBorder="1" applyAlignment="1" applyProtection="1">
      <alignment/>
      <protection/>
    </xf>
    <xf numFmtId="0" fontId="0" fillId="0" borderId="22" xfId="0" applyFont="1" applyBorder="1" applyAlignment="1" applyProtection="1">
      <alignment/>
      <protection/>
    </xf>
    <xf numFmtId="170" fontId="0" fillId="0" borderId="31" xfId="0" applyNumberFormat="1" applyFont="1" applyFill="1" applyBorder="1" applyAlignment="1" applyProtection="1">
      <alignment/>
      <protection/>
    </xf>
    <xf numFmtId="0" fontId="0" fillId="0" borderId="123" xfId="0" applyFont="1" applyBorder="1" applyAlignment="1" applyProtection="1">
      <alignment horizontal="center"/>
      <protection/>
    </xf>
    <xf numFmtId="170" fontId="18" fillId="0" borderId="124" xfId="0" applyNumberFormat="1" applyFont="1" applyBorder="1" applyAlignment="1" applyProtection="1">
      <alignment/>
      <protection/>
    </xf>
    <xf numFmtId="0" fontId="0" fillId="0" borderId="123" xfId="0" applyFont="1" applyBorder="1" applyAlignment="1" applyProtection="1">
      <alignment/>
      <protection/>
    </xf>
    <xf numFmtId="170" fontId="18" fillId="0" borderId="125" xfId="0" applyNumberFormat="1" applyFont="1" applyBorder="1" applyAlignment="1" applyProtection="1">
      <alignment/>
      <protection/>
    </xf>
    <xf numFmtId="0" fontId="0" fillId="0" borderId="31" xfId="0" applyFont="1" applyBorder="1" applyAlignment="1" applyProtection="1">
      <alignment/>
      <protection/>
    </xf>
    <xf numFmtId="0" fontId="0" fillId="0" borderId="123" xfId="0" applyFont="1" applyFill="1" applyBorder="1" applyAlignment="1" applyProtection="1">
      <alignment horizontal="center"/>
      <protection/>
    </xf>
    <xf numFmtId="0" fontId="0" fillId="0" borderId="123" xfId="0" applyFont="1" applyFill="1" applyBorder="1" applyAlignment="1" applyProtection="1">
      <alignment/>
      <protection/>
    </xf>
    <xf numFmtId="10" fontId="0" fillId="0" borderId="22" xfId="0" applyNumberFormat="1" applyFont="1" applyFill="1" applyBorder="1" applyAlignment="1" applyProtection="1">
      <alignment/>
      <protection/>
    </xf>
    <xf numFmtId="10" fontId="0" fillId="0" borderId="31" xfId="0" applyNumberFormat="1" applyFont="1" applyFill="1" applyBorder="1" applyAlignment="1" applyProtection="1">
      <alignment/>
      <protection/>
    </xf>
    <xf numFmtId="0" fontId="4" fillId="0" borderId="0" xfId="0" applyFont="1" applyFill="1" applyBorder="1" applyAlignment="1" applyProtection="1">
      <alignment horizontal="left" vertical="center"/>
      <protection/>
    </xf>
    <xf numFmtId="0" fontId="0" fillId="0" borderId="21" xfId="0" applyFont="1" applyFill="1" applyBorder="1" applyAlignment="1" applyProtection="1">
      <alignment/>
      <protection/>
    </xf>
    <xf numFmtId="0" fontId="0" fillId="33" borderId="60" xfId="0" applyNumberFormat="1" applyFont="1" applyFill="1" applyBorder="1" applyAlignment="1" applyProtection="1">
      <alignment vertical="center"/>
      <protection locked="0"/>
    </xf>
    <xf numFmtId="0" fontId="0" fillId="33" borderId="49" xfId="0" applyNumberFormat="1" applyFont="1" applyFill="1" applyBorder="1" applyAlignment="1" applyProtection="1">
      <alignment vertical="center"/>
      <protection locked="0"/>
    </xf>
    <xf numFmtId="170" fontId="0" fillId="33" borderId="38" xfId="0" applyNumberFormat="1" applyFont="1" applyFill="1" applyBorder="1" applyAlignment="1" applyProtection="1">
      <alignment/>
      <protection locked="0"/>
    </xf>
    <xf numFmtId="0" fontId="0" fillId="33" borderId="46" xfId="0" applyFont="1" applyFill="1" applyBorder="1" applyAlignment="1" applyProtection="1">
      <alignment/>
      <protection locked="0"/>
    </xf>
    <xf numFmtId="0" fontId="0" fillId="33" borderId="40" xfId="0" applyFont="1" applyFill="1" applyBorder="1" applyAlignment="1" applyProtection="1">
      <alignment/>
      <protection locked="0"/>
    </xf>
    <xf numFmtId="0" fontId="11" fillId="0" borderId="67" xfId="0" applyFont="1" applyBorder="1" applyAlignment="1" applyProtection="1">
      <alignment/>
      <protection/>
    </xf>
    <xf numFmtId="0" fontId="11" fillId="0" borderId="8" xfId="0" applyFont="1" applyBorder="1" applyAlignment="1" applyProtection="1">
      <alignment/>
      <protection/>
    </xf>
    <xf numFmtId="0" fontId="0" fillId="0" borderId="11" xfId="0" applyFont="1" applyBorder="1" applyAlignment="1" applyProtection="1">
      <alignment horizontal="center"/>
      <protection/>
    </xf>
    <xf numFmtId="0" fontId="0" fillId="0" borderId="17" xfId="0" applyFont="1" applyBorder="1" applyAlignment="1" applyProtection="1">
      <alignment horizontal="center"/>
      <protection/>
    </xf>
    <xf numFmtId="0" fontId="11" fillId="0" borderId="8" xfId="0" applyFont="1" applyBorder="1" applyAlignment="1" applyProtection="1">
      <alignment horizontal="center"/>
      <protection/>
    </xf>
    <xf numFmtId="0" fontId="0" fillId="0" borderId="56" xfId="0" applyFont="1" applyBorder="1" applyAlignment="1" applyProtection="1">
      <alignment horizontal="center"/>
      <protection/>
    </xf>
    <xf numFmtId="0" fontId="0" fillId="0" borderId="48" xfId="0" applyFont="1" applyFill="1" applyBorder="1" applyAlignment="1" applyProtection="1">
      <alignment horizontal="center"/>
      <protection/>
    </xf>
    <xf numFmtId="0" fontId="0" fillId="0" borderId="32" xfId="0" applyFont="1" applyBorder="1" applyAlignment="1" applyProtection="1">
      <alignment horizontal="center"/>
      <protection/>
    </xf>
    <xf numFmtId="0" fontId="10" fillId="0" borderId="56" xfId="0" applyFont="1" applyFill="1" applyBorder="1" applyAlignment="1" applyProtection="1">
      <alignment horizontal="left"/>
      <protection/>
    </xf>
    <xf numFmtId="0" fontId="0" fillId="0" borderId="32"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56" xfId="0" applyBorder="1" applyAlignment="1" applyProtection="1">
      <alignment/>
      <protection/>
    </xf>
    <xf numFmtId="0" fontId="0" fillId="0" borderId="28" xfId="0" applyBorder="1" applyAlignment="1" applyProtection="1">
      <alignment horizontal="right"/>
      <protection/>
    </xf>
    <xf numFmtId="0" fontId="0" fillId="0" borderId="28" xfId="0" applyBorder="1" applyAlignment="1" applyProtection="1">
      <alignment horizontal="center"/>
      <protection/>
    </xf>
    <xf numFmtId="0" fontId="0" fillId="0" borderId="49"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17" xfId="0" applyBorder="1" applyAlignment="1" applyProtection="1">
      <alignment vertical="center"/>
      <protection/>
    </xf>
    <xf numFmtId="0" fontId="0" fillId="0" borderId="22" xfId="0" applyBorder="1" applyAlignment="1" applyProtection="1">
      <alignment horizontal="center"/>
      <protection/>
    </xf>
    <xf numFmtId="0" fontId="0" fillId="0" borderId="126"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11" xfId="0" applyFont="1" applyBorder="1" applyAlignment="1" applyProtection="1">
      <alignment horizontal="left"/>
      <protection/>
    </xf>
    <xf numFmtId="0" fontId="0" fillId="0" borderId="0" xfId="0" applyBorder="1" applyAlignment="1" applyProtection="1">
      <alignment horizontal="right" indent="1"/>
      <protection/>
    </xf>
    <xf numFmtId="0" fontId="4" fillId="0" borderId="0" xfId="0" applyFont="1" applyBorder="1" applyAlignment="1" applyProtection="1">
      <alignment wrapText="1"/>
      <protection/>
    </xf>
    <xf numFmtId="0" fontId="10" fillId="0" borderId="0" xfId="0" applyFont="1" applyBorder="1" applyAlignment="1" applyProtection="1">
      <alignment horizontal="left"/>
      <protection/>
    </xf>
    <xf numFmtId="0" fontId="0" fillId="0" borderId="0" xfId="0" applyBorder="1" applyAlignment="1" applyProtection="1">
      <alignment wrapText="1"/>
      <protection/>
    </xf>
    <xf numFmtId="0" fontId="0" fillId="0" borderId="45" xfId="0" applyBorder="1" applyAlignment="1" applyProtection="1">
      <alignment horizontal="center"/>
      <protection/>
    </xf>
    <xf numFmtId="0" fontId="0" fillId="0" borderId="45" xfId="0" applyFill="1" applyBorder="1" applyAlignment="1" applyProtection="1">
      <alignment horizontal="center"/>
      <protection/>
    </xf>
    <xf numFmtId="0" fontId="0" fillId="0" borderId="127" xfId="0" applyBorder="1" applyAlignment="1" applyProtection="1">
      <alignment horizontal="center"/>
      <protection/>
    </xf>
    <xf numFmtId="0" fontId="11" fillId="0" borderId="17" xfId="0" applyFont="1" applyBorder="1" applyAlignment="1" applyProtection="1">
      <alignment horizontal="center"/>
      <protection/>
    </xf>
    <xf numFmtId="170" fontId="0" fillId="0" borderId="45" xfId="0" applyNumberFormat="1" applyBorder="1" applyAlignment="1" applyProtection="1">
      <alignment/>
      <protection/>
    </xf>
    <xf numFmtId="169" fontId="0" fillId="0" borderId="45" xfId="0" applyNumberFormat="1" applyFill="1" applyBorder="1" applyAlignment="1" applyProtection="1">
      <alignment/>
      <protection/>
    </xf>
    <xf numFmtId="0" fontId="0" fillId="0" borderId="45" xfId="0" applyBorder="1" applyAlignment="1" applyProtection="1">
      <alignment/>
      <protection/>
    </xf>
    <xf numFmtId="170" fontId="0" fillId="0" borderId="127" xfId="0" applyNumberFormat="1" applyBorder="1" applyAlignment="1" applyProtection="1">
      <alignment/>
      <protection/>
    </xf>
    <xf numFmtId="170" fontId="0" fillId="0" borderId="46" xfId="0" applyNumberFormat="1" applyBorder="1" applyAlignment="1" applyProtection="1">
      <alignment/>
      <protection/>
    </xf>
    <xf numFmtId="170" fontId="0" fillId="0" borderId="112" xfId="0" applyNumberFormat="1" applyBorder="1" applyAlignment="1" applyProtection="1">
      <alignment/>
      <protection/>
    </xf>
    <xf numFmtId="0" fontId="4" fillId="0" borderId="28" xfId="0" applyFont="1" applyBorder="1" applyAlignment="1" applyProtection="1">
      <alignment horizontal="center"/>
      <protection/>
    </xf>
    <xf numFmtId="170" fontId="4" fillId="0" borderId="46" xfId="0" applyNumberFormat="1" applyFont="1" applyBorder="1" applyAlignment="1" applyProtection="1">
      <alignment horizontal="right"/>
      <protection/>
    </xf>
    <xf numFmtId="169" fontId="4" fillId="0" borderId="45" xfId="0" applyNumberFormat="1" applyFont="1" applyFill="1" applyBorder="1" applyAlignment="1" applyProtection="1">
      <alignment horizontal="right"/>
      <protection/>
    </xf>
    <xf numFmtId="0" fontId="4" fillId="0" borderId="45" xfId="0" applyFont="1" applyBorder="1" applyAlignment="1" applyProtection="1">
      <alignment/>
      <protection/>
    </xf>
    <xf numFmtId="170" fontId="4" fillId="0" borderId="112" xfId="0" applyNumberFormat="1" applyFont="1" applyBorder="1" applyAlignment="1" applyProtection="1">
      <alignment/>
      <protection/>
    </xf>
    <xf numFmtId="0" fontId="10" fillId="0" borderId="0" xfId="0" applyFont="1" applyBorder="1" applyAlignment="1" applyProtection="1">
      <alignment horizontal="center"/>
      <protection/>
    </xf>
    <xf numFmtId="10" fontId="10" fillId="0" borderId="45" xfId="0" applyNumberFormat="1" applyFont="1" applyBorder="1" applyAlignment="1" applyProtection="1">
      <alignment horizontal="right"/>
      <protection/>
    </xf>
    <xf numFmtId="10" fontId="10" fillId="0" borderId="45" xfId="0" applyNumberFormat="1" applyFont="1" applyFill="1" applyBorder="1" applyAlignment="1" applyProtection="1">
      <alignment horizontal="right"/>
      <protection/>
    </xf>
    <xf numFmtId="10" fontId="10" fillId="0" borderId="127" xfId="0" applyNumberFormat="1" applyFont="1" applyBorder="1" applyAlignment="1" applyProtection="1">
      <alignment horizontal="right"/>
      <protection/>
    </xf>
    <xf numFmtId="0" fontId="0" fillId="0" borderId="90" xfId="0" applyBorder="1" applyAlignment="1" applyProtection="1">
      <alignment horizontal="right"/>
      <protection/>
    </xf>
    <xf numFmtId="0" fontId="0" fillId="0" borderId="90" xfId="0" applyBorder="1" applyAlignment="1" applyProtection="1">
      <alignment horizontal="center"/>
      <protection/>
    </xf>
    <xf numFmtId="169" fontId="0" fillId="0" borderId="90" xfId="0" applyNumberFormat="1" applyBorder="1" applyAlignment="1" applyProtection="1">
      <alignment/>
      <protection/>
    </xf>
    <xf numFmtId="169" fontId="0" fillId="0" borderId="90" xfId="0" applyNumberFormat="1" applyFill="1" applyBorder="1" applyAlignment="1" applyProtection="1">
      <alignment/>
      <protection/>
    </xf>
    <xf numFmtId="0" fontId="0" fillId="0" borderId="90" xfId="0" applyBorder="1" applyAlignment="1" applyProtection="1">
      <alignment/>
      <protection/>
    </xf>
    <xf numFmtId="169" fontId="0" fillId="0" borderId="78" xfId="0" applyNumberFormat="1" applyBorder="1" applyAlignment="1" applyProtection="1">
      <alignment/>
      <protection/>
    </xf>
    <xf numFmtId="0" fontId="4" fillId="0" borderId="27" xfId="0" applyFont="1" applyBorder="1" applyAlignment="1" applyProtection="1">
      <alignment horizontal="center" vertical="center"/>
      <protection/>
    </xf>
    <xf numFmtId="0" fontId="0" fillId="0" borderId="34" xfId="0" applyBorder="1" applyAlignment="1" applyProtection="1">
      <alignment horizontal="center" wrapText="1"/>
      <protection/>
    </xf>
    <xf numFmtId="0" fontId="0" fillId="0" borderId="27" xfId="0" applyFill="1" applyBorder="1" applyAlignment="1" applyProtection="1">
      <alignment horizontal="center" wrapText="1"/>
      <protection/>
    </xf>
    <xf numFmtId="0" fontId="0" fillId="0" borderId="128" xfId="0" applyBorder="1" applyAlignment="1" applyProtection="1">
      <alignment horizontal="center" wrapText="1"/>
      <protection/>
    </xf>
    <xf numFmtId="0" fontId="0" fillId="0" borderId="30" xfId="0" applyBorder="1" applyAlignment="1" applyProtection="1">
      <alignment horizontal="center" wrapText="1"/>
      <protection/>
    </xf>
    <xf numFmtId="170" fontId="0" fillId="0" borderId="46" xfId="0" applyNumberFormat="1" applyFill="1" applyBorder="1" applyAlignment="1" applyProtection="1">
      <alignment horizontal="right"/>
      <protection/>
    </xf>
    <xf numFmtId="170" fontId="0" fillId="0" borderId="127" xfId="0" applyNumberFormat="1" applyFill="1" applyBorder="1" applyAlignment="1" applyProtection="1">
      <alignment horizontal="right"/>
      <protection/>
    </xf>
    <xf numFmtId="169" fontId="0" fillId="0" borderId="28" xfId="0" applyNumberFormat="1" applyFill="1" applyBorder="1" applyAlignment="1" applyProtection="1">
      <alignment/>
      <protection/>
    </xf>
    <xf numFmtId="170" fontId="0" fillId="0" borderId="112" xfId="0" applyNumberFormat="1" applyFill="1" applyBorder="1" applyAlignment="1" applyProtection="1">
      <alignment/>
      <protection/>
    </xf>
    <xf numFmtId="0" fontId="0" fillId="0" borderId="122" xfId="0" applyBorder="1" applyAlignment="1" applyProtection="1">
      <alignment/>
      <protection/>
    </xf>
    <xf numFmtId="0" fontId="0" fillId="0" borderId="7" xfId="0" applyBorder="1" applyAlignment="1" applyProtection="1">
      <alignment/>
      <protection/>
    </xf>
    <xf numFmtId="0" fontId="0" fillId="0" borderId="45" xfId="0" applyBorder="1" applyAlignment="1" applyProtection="1">
      <alignment horizontal="center" wrapText="1"/>
      <protection/>
    </xf>
    <xf numFmtId="0" fontId="0" fillId="0" borderId="45" xfId="0" applyFill="1" applyBorder="1" applyAlignment="1" applyProtection="1">
      <alignment horizontal="center" wrapText="1"/>
      <protection/>
    </xf>
    <xf numFmtId="0" fontId="0" fillId="0" borderId="47" xfId="0" applyBorder="1" applyAlignment="1" applyProtection="1">
      <alignment horizontal="center" wrapText="1"/>
      <protection/>
    </xf>
    <xf numFmtId="0" fontId="0" fillId="0" borderId="127" xfId="0" applyBorder="1" applyAlignment="1" applyProtection="1">
      <alignment horizontal="center" wrapText="1"/>
      <protection/>
    </xf>
    <xf numFmtId="0" fontId="0" fillId="0" borderId="47" xfId="0" applyBorder="1" applyAlignment="1" applyProtection="1">
      <alignment/>
      <protection/>
    </xf>
    <xf numFmtId="170" fontId="4" fillId="0" borderId="45" xfId="0" applyNumberFormat="1" applyFont="1" applyBorder="1" applyAlignment="1" applyProtection="1">
      <alignment horizontal="right"/>
      <protection/>
    </xf>
    <xf numFmtId="169" fontId="4" fillId="0" borderId="45" xfId="0" applyNumberFormat="1" applyFont="1" applyFill="1" applyBorder="1" applyAlignment="1" applyProtection="1">
      <alignment/>
      <protection/>
    </xf>
    <xf numFmtId="170" fontId="4" fillId="0" borderId="45" xfId="0" applyNumberFormat="1" applyFont="1" applyBorder="1" applyAlignment="1" applyProtection="1">
      <alignment/>
      <protection/>
    </xf>
    <xf numFmtId="0" fontId="4" fillId="0" borderId="47" xfId="0" applyFont="1" applyBorder="1" applyAlignment="1" applyProtection="1">
      <alignment/>
      <protection/>
    </xf>
    <xf numFmtId="170" fontId="4" fillId="0" borderId="127" xfId="0" applyNumberFormat="1" applyFont="1" applyBorder="1" applyAlignment="1" applyProtection="1">
      <alignment/>
      <protection/>
    </xf>
    <xf numFmtId="0" fontId="0" fillId="0" borderId="122" xfId="0" applyBorder="1" applyAlignment="1" applyProtection="1">
      <alignment/>
      <protection/>
    </xf>
    <xf numFmtId="0" fontId="0" fillId="0" borderId="7" xfId="0" applyBorder="1" applyAlignment="1" applyProtection="1">
      <alignment/>
      <protection/>
    </xf>
    <xf numFmtId="0" fontId="0" fillId="0" borderId="7" xfId="0" applyBorder="1" applyAlignment="1" applyProtection="1">
      <alignment horizontal="center"/>
      <protection/>
    </xf>
    <xf numFmtId="0" fontId="0" fillId="0" borderId="7" xfId="0" applyFill="1" applyBorder="1" applyAlignment="1" applyProtection="1">
      <alignment horizontal="center"/>
      <protection/>
    </xf>
    <xf numFmtId="0" fontId="0" fillId="0" borderId="129" xfId="0" applyBorder="1" applyAlignment="1" applyProtection="1">
      <alignment horizontal="center"/>
      <protection/>
    </xf>
    <xf numFmtId="170" fontId="0" fillId="0" borderId="109" xfId="0" applyNumberFormat="1" applyBorder="1" applyAlignment="1" applyProtection="1">
      <alignment/>
      <protection/>
    </xf>
    <xf numFmtId="170" fontId="0" fillId="0" borderId="45" xfId="0" applyNumberFormat="1" applyFill="1" applyBorder="1" applyAlignment="1" applyProtection="1">
      <alignment/>
      <protection/>
    </xf>
    <xf numFmtId="0" fontId="0" fillId="0" borderId="0" xfId="0" applyFont="1" applyAlignment="1" applyProtection="1">
      <alignment/>
      <protection/>
    </xf>
    <xf numFmtId="169" fontId="0" fillId="0" borderId="127" xfId="0" applyNumberFormat="1" applyBorder="1" applyAlignment="1" applyProtection="1">
      <alignment/>
      <protection/>
    </xf>
    <xf numFmtId="0" fontId="0" fillId="0" borderId="37" xfId="0" applyBorder="1" applyAlignment="1" applyProtection="1">
      <alignment horizontal="center"/>
      <protection/>
    </xf>
    <xf numFmtId="0" fontId="0" fillId="0" borderId="44" xfId="0" applyBorder="1" applyAlignment="1" applyProtection="1">
      <alignment horizontal="center"/>
      <protection/>
    </xf>
    <xf numFmtId="169" fontId="0" fillId="0" borderId="109" xfId="0" applyNumberFormat="1" applyBorder="1" applyAlignment="1" applyProtection="1">
      <alignment horizontal="center"/>
      <protection/>
    </xf>
    <xf numFmtId="0" fontId="10" fillId="0" borderId="37" xfId="0" applyFont="1" applyBorder="1" applyAlignment="1" applyProtection="1">
      <alignment horizontal="center"/>
      <protection/>
    </xf>
    <xf numFmtId="10" fontId="10" fillId="0" borderId="44" xfId="0" applyNumberFormat="1" applyFont="1" applyBorder="1" applyAlignment="1" applyProtection="1">
      <alignment horizontal="right"/>
      <protection/>
    </xf>
    <xf numFmtId="10" fontId="10" fillId="0" borderId="109" xfId="0" applyNumberFormat="1" applyFont="1" applyBorder="1" applyAlignment="1" applyProtection="1">
      <alignment horizontal="right"/>
      <protection/>
    </xf>
    <xf numFmtId="0" fontId="0" fillId="0" borderId="90" xfId="0" applyFill="1" applyBorder="1" applyAlignment="1" applyProtection="1">
      <alignment/>
      <protection/>
    </xf>
    <xf numFmtId="0" fontId="29" fillId="0" borderId="0" xfId="0" applyFont="1" applyBorder="1" applyAlignment="1" applyProtection="1">
      <alignment horizontal="right"/>
      <protection/>
    </xf>
    <xf numFmtId="1" fontId="0" fillId="0" borderId="45" xfId="0" applyNumberFormat="1" applyFill="1" applyBorder="1" applyAlignment="1" applyProtection="1">
      <alignment horizontal="center"/>
      <protection/>
    </xf>
    <xf numFmtId="169" fontId="0" fillId="0" borderId="127" xfId="0" applyNumberFormat="1" applyBorder="1" applyAlignment="1" applyProtection="1">
      <alignment horizontal="center"/>
      <protection/>
    </xf>
    <xf numFmtId="170" fontId="0" fillId="0" borderId="45" xfId="0" applyNumberFormat="1" applyBorder="1" applyAlignment="1" applyProtection="1">
      <alignment horizontal="right"/>
      <protection/>
    </xf>
    <xf numFmtId="0" fontId="0" fillId="0" borderId="94" xfId="0" applyBorder="1" applyAlignment="1" applyProtection="1">
      <alignment horizontal="center"/>
      <protection/>
    </xf>
    <xf numFmtId="169" fontId="0" fillId="0" borderId="94" xfId="0" applyNumberFormat="1" applyBorder="1" applyAlignment="1" applyProtection="1">
      <alignment horizontal="center"/>
      <protection/>
    </xf>
    <xf numFmtId="0" fontId="0" fillId="0" borderId="28" xfId="0" applyBorder="1" applyAlignment="1" applyProtection="1">
      <alignment horizontal="left" indent="2"/>
      <protection/>
    </xf>
    <xf numFmtId="170" fontId="0" fillId="0" borderId="32" xfId="0" applyNumberFormat="1" applyBorder="1" applyAlignment="1" applyProtection="1">
      <alignment/>
      <protection/>
    </xf>
    <xf numFmtId="0" fontId="9" fillId="0" borderId="0" xfId="0" applyFont="1" applyBorder="1" applyAlignment="1" applyProtection="1">
      <alignment horizontal="left"/>
      <protection/>
    </xf>
    <xf numFmtId="10" fontId="10" fillId="0" borderId="17" xfId="0" applyNumberFormat="1" applyFont="1" applyBorder="1" applyAlignment="1" applyProtection="1">
      <alignment horizontal="right"/>
      <protection/>
    </xf>
    <xf numFmtId="0" fontId="0" fillId="0" borderId="25" xfId="0" applyBorder="1" applyAlignment="1" applyProtection="1">
      <alignment horizontal="center"/>
      <protection/>
    </xf>
    <xf numFmtId="0" fontId="0" fillId="0" borderId="130" xfId="0" applyBorder="1" applyAlignment="1" applyProtection="1">
      <alignment horizontal="center"/>
      <protection/>
    </xf>
    <xf numFmtId="0" fontId="0" fillId="0" borderId="130" xfId="0" applyFill="1" applyBorder="1" applyAlignment="1" applyProtection="1">
      <alignment horizontal="center"/>
      <protection/>
    </xf>
    <xf numFmtId="0" fontId="0" fillId="0" borderId="131" xfId="0" applyBorder="1" applyAlignment="1" applyProtection="1">
      <alignment horizontal="center"/>
      <protection/>
    </xf>
    <xf numFmtId="0" fontId="0" fillId="0" borderId="26" xfId="0" applyBorder="1" applyAlignment="1" applyProtection="1">
      <alignment horizontal="center"/>
      <protection/>
    </xf>
    <xf numFmtId="0" fontId="0" fillId="0" borderId="45" xfId="0" applyFill="1" applyBorder="1" applyAlignment="1" applyProtection="1">
      <alignment/>
      <protection/>
    </xf>
    <xf numFmtId="0" fontId="4" fillId="0" borderId="37" xfId="0" applyFont="1" applyBorder="1" applyAlignment="1" applyProtection="1">
      <alignment horizontal="center"/>
      <protection/>
    </xf>
    <xf numFmtId="170" fontId="4" fillId="0" borderId="44" xfId="0" applyNumberFormat="1" applyFont="1" applyBorder="1" applyAlignment="1" applyProtection="1">
      <alignment/>
      <protection/>
    </xf>
    <xf numFmtId="0" fontId="4" fillId="0" borderId="45" xfId="0" applyFont="1" applyFill="1" applyBorder="1" applyAlignment="1" applyProtection="1">
      <alignment/>
      <protection/>
    </xf>
    <xf numFmtId="170" fontId="4" fillId="0" borderId="94" xfId="0" applyNumberFormat="1" applyFont="1" applyBorder="1" applyAlignment="1" applyProtection="1">
      <alignment/>
      <protection/>
    </xf>
    <xf numFmtId="0" fontId="4" fillId="0" borderId="18" xfId="0" applyFont="1" applyBorder="1" applyAlignment="1" applyProtection="1">
      <alignment horizontal="left"/>
      <protection/>
    </xf>
    <xf numFmtId="0" fontId="4" fillId="0" borderId="19" xfId="0" applyFont="1" applyBorder="1" applyAlignment="1" applyProtection="1">
      <alignment horizontal="center"/>
      <protection/>
    </xf>
    <xf numFmtId="169" fontId="4" fillId="0" borderId="83" xfId="0" applyNumberFormat="1" applyFont="1" applyBorder="1" applyAlignment="1" applyProtection="1">
      <alignment/>
      <protection/>
    </xf>
    <xf numFmtId="0" fontId="4" fillId="0" borderId="83" xfId="0" applyFont="1" applyFill="1" applyBorder="1" applyAlignment="1" applyProtection="1">
      <alignment/>
      <protection/>
    </xf>
    <xf numFmtId="0" fontId="4" fillId="0" borderId="80" xfId="0" applyFont="1" applyBorder="1" applyAlignment="1" applyProtection="1">
      <alignment/>
      <protection/>
    </xf>
    <xf numFmtId="169" fontId="4" fillId="0" borderId="20" xfId="0" applyNumberFormat="1" applyFont="1" applyBorder="1" applyAlignment="1" applyProtection="1">
      <alignment/>
      <protection/>
    </xf>
    <xf numFmtId="169" fontId="7" fillId="0" borderId="0" xfId="0" applyNumberFormat="1" applyFont="1" applyBorder="1" applyAlignment="1" applyProtection="1">
      <alignment/>
      <protection/>
    </xf>
    <xf numFmtId="169" fontId="7" fillId="0" borderId="0" xfId="0" applyNumberFormat="1" applyFont="1" applyBorder="1" applyAlignment="1" applyProtection="1">
      <alignment horizontal="right"/>
      <protection/>
    </xf>
    <xf numFmtId="6" fontId="4" fillId="0" borderId="17" xfId="0" applyNumberFormat="1" applyFont="1" applyBorder="1" applyAlignment="1" applyProtection="1">
      <alignment horizontal="left"/>
      <protection/>
    </xf>
    <xf numFmtId="169" fontId="7" fillId="0" borderId="19" xfId="0" applyNumberFormat="1" applyFont="1" applyBorder="1" applyAlignment="1" applyProtection="1">
      <alignment/>
      <protection/>
    </xf>
    <xf numFmtId="169" fontId="7" fillId="0" borderId="19" xfId="0" applyNumberFormat="1" applyFont="1" applyBorder="1" applyAlignment="1" applyProtection="1">
      <alignment horizontal="right"/>
      <protection/>
    </xf>
    <xf numFmtId="8" fontId="4" fillId="0" borderId="20" xfId="0" applyNumberFormat="1" applyFont="1" applyBorder="1" applyAlignment="1" applyProtection="1">
      <alignment horizontal="left"/>
      <protection/>
    </xf>
    <xf numFmtId="0" fontId="0" fillId="0" borderId="19" xfId="0" applyFill="1" applyBorder="1" applyAlignment="1" applyProtection="1">
      <alignment/>
      <protection/>
    </xf>
    <xf numFmtId="0" fontId="0" fillId="0" borderId="0" xfId="0" applyAlignment="1" applyProtection="1">
      <alignment horizontal="center"/>
      <protection/>
    </xf>
    <xf numFmtId="0" fontId="0" fillId="33" borderId="44" xfId="0" applyFont="1" applyFill="1" applyBorder="1" applyAlignment="1" applyProtection="1">
      <alignment horizontal="center"/>
      <protection locked="0"/>
    </xf>
    <xf numFmtId="0" fontId="0" fillId="33" borderId="49" xfId="0" applyFont="1"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58" xfId="0" applyFill="1" applyBorder="1" applyAlignment="1" applyProtection="1">
      <alignment/>
      <protection locked="0"/>
    </xf>
    <xf numFmtId="9" fontId="0" fillId="0" borderId="0" xfId="0" applyNumberFormat="1" applyFont="1" applyAlignment="1" applyProtection="1">
      <alignment/>
      <protection/>
    </xf>
    <xf numFmtId="9" fontId="0" fillId="0" borderId="0" xfId="0" applyNumberFormat="1" applyBorder="1" applyAlignment="1" applyProtection="1">
      <alignment/>
      <protection/>
    </xf>
    <xf numFmtId="10" fontId="0" fillId="0" borderId="0" xfId="0" applyNumberFormat="1" applyFont="1" applyBorder="1" applyAlignment="1" applyProtection="1">
      <alignment/>
      <protection/>
    </xf>
    <xf numFmtId="170" fontId="10" fillId="0" borderId="57" xfId="0" applyNumberFormat="1" applyFont="1" applyFill="1" applyBorder="1" applyAlignment="1" applyProtection="1">
      <alignment/>
      <protection/>
    </xf>
    <xf numFmtId="0" fontId="0" fillId="0" borderId="0" xfId="0" applyFont="1" applyBorder="1" applyAlignment="1" applyProtection="1">
      <alignment horizontal="right"/>
      <protection/>
    </xf>
    <xf numFmtId="10" fontId="0" fillId="0" borderId="17" xfId="0" applyNumberFormat="1" applyFont="1" applyFill="1" applyBorder="1" applyAlignment="1" applyProtection="1">
      <alignment horizontal="left" indent="1"/>
      <protection/>
    </xf>
    <xf numFmtId="0" fontId="11" fillId="0" borderId="0" xfId="0" applyFont="1" applyBorder="1" applyAlignment="1" applyProtection="1">
      <alignment/>
      <protection/>
    </xf>
    <xf numFmtId="0" fontId="11" fillId="0" borderId="0" xfId="0" applyFont="1" applyFill="1" applyBorder="1" applyAlignment="1" applyProtection="1">
      <alignment/>
      <protection/>
    </xf>
    <xf numFmtId="10" fontId="11" fillId="0" borderId="17" xfId="0" applyNumberFormat="1" applyFont="1" applyBorder="1" applyAlignment="1" applyProtection="1">
      <alignment/>
      <protection/>
    </xf>
    <xf numFmtId="0" fontId="0" fillId="0" borderId="11" xfId="0" applyFont="1" applyFill="1" applyBorder="1" applyAlignment="1" applyProtection="1">
      <alignment horizontal="right" indent="1"/>
      <protection/>
    </xf>
    <xf numFmtId="10" fontId="11" fillId="0" borderId="0" xfId="0" applyNumberFormat="1" applyFont="1" applyBorder="1" applyAlignment="1" applyProtection="1">
      <alignment/>
      <protection/>
    </xf>
    <xf numFmtId="0" fontId="11" fillId="0" borderId="0" xfId="0" applyFont="1" applyFill="1" applyBorder="1" applyAlignment="1" applyProtection="1">
      <alignment horizontal="right"/>
      <protection/>
    </xf>
    <xf numFmtId="10" fontId="11" fillId="0" borderId="0" xfId="0" applyNumberFormat="1" applyFont="1" applyFill="1" applyBorder="1" applyAlignment="1" applyProtection="1">
      <alignment/>
      <protection/>
    </xf>
    <xf numFmtId="0" fontId="0" fillId="0" borderId="11" xfId="0" applyFont="1" applyBorder="1" applyAlignment="1" applyProtection="1">
      <alignment horizontal="right" indent="1"/>
      <protection/>
    </xf>
    <xf numFmtId="0" fontId="0" fillId="0" borderId="18" xfId="0" applyFont="1" applyBorder="1" applyAlignment="1" applyProtection="1">
      <alignment horizontal="right" indent="1"/>
      <protection/>
    </xf>
    <xf numFmtId="10" fontId="0" fillId="0" borderId="26" xfId="0" applyNumberFormat="1" applyFont="1" applyFill="1" applyBorder="1" applyAlignment="1" applyProtection="1">
      <alignment horizontal="left" indent="1"/>
      <protection/>
    </xf>
    <xf numFmtId="0" fontId="11" fillId="0" borderId="0" xfId="0" applyFont="1" applyBorder="1" applyAlignment="1" applyProtection="1">
      <alignment horizontal="right"/>
      <protection/>
    </xf>
    <xf numFmtId="0" fontId="0" fillId="0" borderId="18" xfId="0" applyFont="1" applyFill="1" applyBorder="1" applyAlignment="1" applyProtection="1">
      <alignment horizontal="right" indent="1"/>
      <protection/>
    </xf>
    <xf numFmtId="10" fontId="0" fillId="0" borderId="0" xfId="0" applyNumberFormat="1" applyFont="1" applyFill="1" applyBorder="1" applyAlignment="1" applyProtection="1">
      <alignment horizontal="right"/>
      <protection/>
    </xf>
    <xf numFmtId="10" fontId="0" fillId="0" borderId="17" xfId="0" applyNumberFormat="1" applyFont="1" applyBorder="1" applyAlignment="1" applyProtection="1">
      <alignment horizontal="left" indent="1"/>
      <protection/>
    </xf>
    <xf numFmtId="10" fontId="0" fillId="0" borderId="26" xfId="0" applyNumberFormat="1" applyFont="1" applyBorder="1" applyAlignment="1" applyProtection="1">
      <alignment horizontal="left" indent="1"/>
      <protection/>
    </xf>
    <xf numFmtId="0" fontId="11" fillId="0" borderId="17" xfId="0" applyFont="1" applyBorder="1" applyAlignment="1" applyProtection="1">
      <alignment/>
      <protection/>
    </xf>
    <xf numFmtId="10" fontId="0" fillId="0" borderId="35" xfId="0" applyNumberFormat="1" applyFont="1" applyFill="1" applyBorder="1" applyAlignment="1" applyProtection="1">
      <alignment horizontal="left" indent="1"/>
      <protection/>
    </xf>
    <xf numFmtId="10" fontId="7" fillId="0" borderId="0" xfId="0" applyNumberFormat="1" applyFont="1" applyFill="1" applyBorder="1" applyAlignment="1" applyProtection="1">
      <alignment horizontal="center"/>
      <protection/>
    </xf>
    <xf numFmtId="10" fontId="12" fillId="0" borderId="57" xfId="0" applyNumberFormat="1" applyFont="1" applyFill="1" applyBorder="1" applyAlignment="1" applyProtection="1">
      <alignment/>
      <protection/>
    </xf>
    <xf numFmtId="10" fontId="12" fillId="0" borderId="57" xfId="0" applyNumberFormat="1" applyFont="1" applyBorder="1" applyAlignment="1" applyProtection="1">
      <alignment/>
      <protection/>
    </xf>
    <xf numFmtId="0" fontId="3" fillId="0" borderId="18" xfId="0" applyFont="1" applyBorder="1" applyAlignment="1" applyProtection="1">
      <alignment/>
      <protection/>
    </xf>
    <xf numFmtId="0" fontId="11" fillId="0" borderId="26" xfId="0" applyFont="1" applyBorder="1" applyAlignment="1" applyProtection="1">
      <alignment/>
      <protection/>
    </xf>
    <xf numFmtId="9" fontId="0" fillId="0" borderId="0" xfId="0" applyNumberFormat="1" applyFont="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horizontal="right" indent="1"/>
      <protection/>
    </xf>
    <xf numFmtId="0" fontId="0" fillId="0" borderId="11" xfId="0" applyFont="1" applyBorder="1" applyAlignment="1" applyProtection="1">
      <alignment horizontal="left" indent="1"/>
      <protection/>
    </xf>
    <xf numFmtId="170" fontId="0" fillId="0" borderId="87" xfId="45" applyNumberFormat="1" applyFont="1" applyFill="1" applyBorder="1" applyAlignment="1" applyProtection="1">
      <alignment horizontal="right"/>
      <protection/>
    </xf>
    <xf numFmtId="0" fontId="0" fillId="0" borderId="17" xfId="0" applyFont="1" applyBorder="1" applyAlignment="1" applyProtection="1">
      <alignment horizontal="right"/>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right"/>
      <protection/>
    </xf>
    <xf numFmtId="9" fontId="0" fillId="0" borderId="22" xfId="0" applyNumberFormat="1" applyFill="1" applyBorder="1" applyAlignment="1" applyProtection="1">
      <alignment/>
      <protection/>
    </xf>
    <xf numFmtId="0" fontId="0" fillId="0" borderId="31" xfId="0" applyFont="1" applyBorder="1" applyAlignment="1" applyProtection="1">
      <alignment horizontal="center"/>
      <protection/>
    </xf>
    <xf numFmtId="0" fontId="4" fillId="0" borderId="122" xfId="0" applyFont="1" applyBorder="1" applyAlignment="1" applyProtection="1">
      <alignment horizontal="left"/>
      <protection/>
    </xf>
    <xf numFmtId="9" fontId="0" fillId="0" borderId="0" xfId="0" applyNumberFormat="1" applyFill="1" applyBorder="1" applyAlignment="1" applyProtection="1">
      <alignment/>
      <protection/>
    </xf>
    <xf numFmtId="0" fontId="0" fillId="0" borderId="11" xfId="0" applyFont="1" applyBorder="1" applyAlignment="1" applyProtection="1">
      <alignment horizontal="right" indent="1"/>
      <protection/>
    </xf>
    <xf numFmtId="0" fontId="10" fillId="0" borderId="17" xfId="0" applyFont="1" applyBorder="1" applyAlignment="1" applyProtection="1">
      <alignment wrapText="1"/>
      <protection/>
    </xf>
    <xf numFmtId="0" fontId="0" fillId="0" borderId="11" xfId="0" applyFont="1" applyBorder="1" applyAlignment="1" applyProtection="1">
      <alignment horizontal="right"/>
      <protection/>
    </xf>
    <xf numFmtId="0" fontId="11" fillId="0" borderId="0" xfId="0" applyFont="1" applyBorder="1" applyAlignment="1" applyProtection="1">
      <alignment horizontal="center"/>
      <protection/>
    </xf>
    <xf numFmtId="0" fontId="10" fillId="0" borderId="0" xfId="0" applyFont="1" applyBorder="1" applyAlignment="1" applyProtection="1">
      <alignment wrapText="1"/>
      <protection/>
    </xf>
    <xf numFmtId="10" fontId="0" fillId="0" borderId="49" xfId="0" applyNumberFormat="1" applyBorder="1" applyAlignment="1" applyProtection="1">
      <alignment/>
      <protection/>
    </xf>
    <xf numFmtId="10" fontId="11" fillId="0" borderId="42" xfId="0" applyNumberFormat="1" applyFont="1" applyFill="1" applyBorder="1" applyAlignment="1" applyProtection="1">
      <alignment/>
      <protection/>
    </xf>
    <xf numFmtId="0" fontId="7" fillId="0" borderId="21" xfId="0" applyFont="1" applyBorder="1" applyAlignment="1" applyProtection="1">
      <alignment horizontal="left"/>
      <protection/>
    </xf>
    <xf numFmtId="10" fontId="0" fillId="0" borderId="22" xfId="0" applyNumberFormat="1" applyFill="1" applyBorder="1" applyAlignment="1" applyProtection="1">
      <alignment/>
      <protection/>
    </xf>
    <xf numFmtId="0" fontId="7" fillId="0" borderId="31" xfId="0" applyFont="1" applyBorder="1" applyAlignment="1" applyProtection="1">
      <alignment horizontal="right"/>
      <protection/>
    </xf>
    <xf numFmtId="0" fontId="0" fillId="0" borderId="7" xfId="0" applyFont="1" applyBorder="1" applyAlignment="1" applyProtection="1">
      <alignment wrapText="1"/>
      <protection/>
    </xf>
    <xf numFmtId="170" fontId="0" fillId="0" borderId="105" xfId="0" applyNumberFormat="1" applyFont="1" applyFill="1" applyBorder="1" applyAlignment="1" applyProtection="1">
      <alignment horizontal="right"/>
      <protection/>
    </xf>
    <xf numFmtId="169" fontId="0" fillId="0" borderId="8" xfId="0" applyNumberFormat="1" applyFont="1" applyBorder="1" applyAlignment="1" applyProtection="1">
      <alignment/>
      <protection/>
    </xf>
    <xf numFmtId="10" fontId="0" fillId="0" borderId="38" xfId="0" applyNumberFormat="1" applyFill="1" applyBorder="1" applyAlignment="1" applyProtection="1">
      <alignment horizontal="center"/>
      <protection/>
    </xf>
    <xf numFmtId="0" fontId="0" fillId="0" borderId="49" xfId="0" applyNumberFormat="1" applyBorder="1" applyAlignment="1" applyProtection="1">
      <alignment horizontal="center"/>
      <protection/>
    </xf>
    <xf numFmtId="0" fontId="0" fillId="0" borderId="73" xfId="0" applyNumberFormat="1" applyBorder="1" applyAlignment="1" applyProtection="1">
      <alignment horizontal="center"/>
      <protection/>
    </xf>
    <xf numFmtId="10" fontId="0" fillId="0" borderId="132" xfId="0" applyNumberFormat="1" applyFill="1" applyBorder="1" applyAlignment="1" applyProtection="1">
      <alignment horizontal="center"/>
      <protection/>
    </xf>
    <xf numFmtId="170" fontId="0" fillId="0" borderId="57" xfId="45" applyNumberFormat="1" applyFont="1" applyFill="1" applyBorder="1" applyAlignment="1" applyProtection="1">
      <alignment horizontal="right"/>
      <protection/>
    </xf>
    <xf numFmtId="0" fontId="0" fillId="0" borderId="57" xfId="0" applyFont="1" applyFill="1" applyBorder="1" applyAlignment="1" applyProtection="1">
      <alignment horizontal="center"/>
      <protection/>
    </xf>
    <xf numFmtId="170" fontId="0" fillId="0" borderId="0" xfId="0" applyNumberFormat="1" applyFont="1" applyBorder="1" applyAlignment="1" applyProtection="1">
      <alignment horizontal="center"/>
      <protection/>
    </xf>
    <xf numFmtId="170" fontId="0" fillId="0" borderId="0" xfId="0" applyNumberFormat="1" applyFill="1" applyBorder="1" applyAlignment="1" applyProtection="1">
      <alignment horizontal="right"/>
      <protection/>
    </xf>
    <xf numFmtId="170" fontId="0" fillId="0" borderId="57" xfId="0" applyNumberFormat="1" applyFont="1" applyFill="1" applyBorder="1" applyAlignment="1" applyProtection="1">
      <alignment/>
      <protection/>
    </xf>
    <xf numFmtId="169" fontId="11" fillId="0" borderId="0" xfId="0" applyNumberFormat="1" applyFont="1" applyBorder="1" applyAlignment="1" applyProtection="1">
      <alignment horizontal="right"/>
      <protection/>
    </xf>
    <xf numFmtId="8" fontId="0" fillId="0" borderId="0" xfId="0" applyNumberFormat="1" applyFont="1" applyBorder="1" applyAlignment="1" applyProtection="1">
      <alignment horizontal="right" indent="1"/>
      <protection/>
    </xf>
    <xf numFmtId="170" fontId="0" fillId="0" borderId="0" xfId="0" applyNumberFormat="1" applyFont="1" applyBorder="1" applyAlignment="1" applyProtection="1">
      <alignment horizontal="right"/>
      <protection/>
    </xf>
    <xf numFmtId="169" fontId="0" fillId="0" borderId="0" xfId="0" applyNumberFormat="1" applyFont="1" applyBorder="1" applyAlignment="1" applyProtection="1">
      <alignment/>
      <protection/>
    </xf>
    <xf numFmtId="10" fontId="0" fillId="0" borderId="17" xfId="0" applyNumberFormat="1" applyFont="1" applyFill="1" applyBorder="1" applyAlignment="1" applyProtection="1">
      <alignment/>
      <protection/>
    </xf>
    <xf numFmtId="0" fontId="7" fillId="0" borderId="122" xfId="0" applyFont="1" applyBorder="1" applyAlignment="1" applyProtection="1">
      <alignment/>
      <protection/>
    </xf>
    <xf numFmtId="10" fontId="0" fillId="0" borderId="7" xfId="0" applyNumberFormat="1" applyFont="1" applyBorder="1" applyAlignment="1" applyProtection="1">
      <alignment/>
      <protection/>
    </xf>
    <xf numFmtId="169" fontId="0" fillId="0" borderId="7" xfId="0" applyNumberFormat="1" applyFont="1" applyBorder="1" applyAlignment="1" applyProtection="1">
      <alignment/>
      <protection/>
    </xf>
    <xf numFmtId="0" fontId="0" fillId="0" borderId="129" xfId="0" applyFont="1" applyBorder="1" applyAlignment="1" applyProtection="1">
      <alignment/>
      <protection/>
    </xf>
    <xf numFmtId="0" fontId="0" fillId="0" borderId="0" xfId="0" applyFont="1" applyAlignment="1" applyProtection="1">
      <alignment horizontal="left"/>
      <protection/>
    </xf>
    <xf numFmtId="0" fontId="0" fillId="0" borderId="17" xfId="0" applyFont="1" applyBorder="1" applyAlignment="1" applyProtection="1">
      <alignment wrapText="1"/>
      <protection/>
    </xf>
    <xf numFmtId="170" fontId="0" fillId="0" borderId="0" xfId="0" applyNumberFormat="1" applyBorder="1" applyAlignment="1" applyProtection="1">
      <alignment horizontal="center" wrapText="1"/>
      <protection/>
    </xf>
    <xf numFmtId="0" fontId="13" fillId="0" borderId="0" xfId="0" applyFont="1" applyBorder="1" applyAlignment="1" applyProtection="1">
      <alignment wrapText="1"/>
      <protection/>
    </xf>
    <xf numFmtId="0" fontId="0" fillId="0" borderId="17" xfId="0" applyBorder="1" applyAlignment="1" applyProtection="1">
      <alignment wrapText="1"/>
      <protection/>
    </xf>
    <xf numFmtId="169" fontId="11" fillId="0" borderId="0" xfId="0"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8" fontId="10" fillId="0" borderId="17" xfId="0" applyNumberFormat="1" applyFont="1" applyBorder="1" applyAlignment="1" applyProtection="1">
      <alignment horizontal="center"/>
      <protection/>
    </xf>
    <xf numFmtId="8" fontId="0" fillId="0" borderId="21" xfId="0" applyNumberFormat="1" applyFont="1" applyBorder="1" applyAlignment="1" applyProtection="1">
      <alignment horizontal="left"/>
      <protection/>
    </xf>
    <xf numFmtId="171" fontId="0" fillId="0" borderId="22" xfId="0" applyNumberFormat="1" applyFont="1" applyFill="1" applyBorder="1" applyAlignment="1" applyProtection="1">
      <alignment/>
      <protection/>
    </xf>
    <xf numFmtId="8" fontId="10" fillId="0" borderId="31" xfId="0" applyNumberFormat="1" applyFont="1" applyBorder="1" applyAlignment="1" applyProtection="1">
      <alignment horizontal="center"/>
      <protection/>
    </xf>
    <xf numFmtId="8" fontId="0" fillId="0" borderId="0" xfId="0" applyNumberFormat="1" applyFont="1" applyBorder="1" applyAlignment="1" applyProtection="1">
      <alignment horizontal="center"/>
      <protection/>
    </xf>
    <xf numFmtId="8" fontId="23" fillId="0" borderId="0" xfId="0" applyNumberFormat="1" applyFont="1" applyBorder="1" applyAlignment="1" applyProtection="1">
      <alignment/>
      <protection/>
    </xf>
    <xf numFmtId="8" fontId="0" fillId="0" borderId="0" xfId="0" applyNumberFormat="1" applyBorder="1" applyAlignment="1" applyProtection="1">
      <alignment horizontal="center"/>
      <protection/>
    </xf>
    <xf numFmtId="0" fontId="0" fillId="33" borderId="57" xfId="0" applyFont="1" applyFill="1" applyBorder="1" applyAlignment="1" applyProtection="1">
      <alignment horizontal="left" indent="1"/>
      <protection locked="0"/>
    </xf>
    <xf numFmtId="170" fontId="0" fillId="33" borderId="104" xfId="0" applyNumberFormat="1" applyFont="1" applyFill="1" applyBorder="1" applyAlignment="1" applyProtection="1">
      <alignment horizontal="right"/>
      <protection locked="0"/>
    </xf>
    <xf numFmtId="9" fontId="0" fillId="33" borderId="113" xfId="0" applyNumberFormat="1" applyFill="1" applyBorder="1" applyAlignment="1" applyProtection="1">
      <alignment/>
      <protection locked="0"/>
    </xf>
    <xf numFmtId="0" fontId="0" fillId="33" borderId="101" xfId="0" applyFill="1" applyBorder="1" applyAlignment="1" applyProtection="1">
      <alignment horizontal="center"/>
      <protection locked="0"/>
    </xf>
    <xf numFmtId="10" fontId="0" fillId="33" borderId="38" xfId="0" applyNumberFormat="1" applyFill="1" applyBorder="1" applyAlignment="1" applyProtection="1">
      <alignment/>
      <protection locked="0"/>
    </xf>
    <xf numFmtId="10" fontId="4" fillId="34" borderId="113" xfId="0" applyNumberFormat="1" applyFont="1" applyFill="1" applyBorder="1" applyAlignment="1" applyProtection="1">
      <alignment/>
      <protection locked="0"/>
    </xf>
    <xf numFmtId="10" fontId="4" fillId="34" borderId="101" xfId="0" applyNumberFormat="1" applyFont="1" applyFill="1" applyBorder="1" applyAlignment="1" applyProtection="1">
      <alignment/>
      <protection locked="0"/>
    </xf>
    <xf numFmtId="10" fontId="4" fillId="34" borderId="87" xfId="0" applyNumberFormat="1" applyFont="1" applyFill="1" applyBorder="1" applyAlignment="1" applyProtection="1">
      <alignment/>
      <protection locked="0"/>
    </xf>
    <xf numFmtId="10" fontId="4" fillId="35" borderId="113" xfId="0" applyNumberFormat="1" applyFont="1" applyFill="1" applyBorder="1" applyAlignment="1" applyProtection="1">
      <alignment/>
      <protection locked="0"/>
    </xf>
    <xf numFmtId="10" fontId="4" fillId="35" borderId="101" xfId="0" applyNumberFormat="1" applyFont="1" applyFill="1" applyBorder="1" applyAlignment="1" applyProtection="1">
      <alignment/>
      <protection locked="0"/>
    </xf>
    <xf numFmtId="10" fontId="4" fillId="35" borderId="87" xfId="0" applyNumberFormat="1" applyFont="1" applyFill="1" applyBorder="1" applyAlignment="1" applyProtection="1">
      <alignment/>
      <protection locked="0"/>
    </xf>
    <xf numFmtId="10" fontId="4" fillId="36" borderId="113" xfId="0" applyNumberFormat="1" applyFont="1" applyFill="1" applyBorder="1" applyAlignment="1" applyProtection="1">
      <alignment/>
      <protection locked="0"/>
    </xf>
    <xf numFmtId="10" fontId="4" fillId="37" borderId="113" xfId="0" applyNumberFormat="1" applyFont="1" applyFill="1" applyBorder="1" applyAlignment="1" applyProtection="1">
      <alignment/>
      <protection locked="0"/>
    </xf>
    <xf numFmtId="10" fontId="4" fillId="37" borderId="87" xfId="0" applyNumberFormat="1" applyFont="1" applyFill="1" applyBorder="1" applyAlignment="1" applyProtection="1">
      <alignment/>
      <protection locked="0"/>
    </xf>
    <xf numFmtId="170" fontId="0" fillId="33" borderId="117" xfId="0" applyNumberFormat="1" applyFill="1" applyBorder="1" applyAlignment="1" applyProtection="1">
      <alignment/>
      <protection locked="0"/>
    </xf>
    <xf numFmtId="10" fontId="0" fillId="33" borderId="133" xfId="0" applyNumberFormat="1" applyFill="1" applyBorder="1" applyAlignment="1" applyProtection="1">
      <alignment horizontal="right"/>
      <protection locked="0"/>
    </xf>
    <xf numFmtId="10" fontId="0" fillId="33" borderId="38" xfId="0" applyNumberFormat="1" applyFill="1" applyBorder="1" applyAlignment="1" applyProtection="1">
      <alignment horizontal="right"/>
      <protection locked="0"/>
    </xf>
    <xf numFmtId="0" fontId="4" fillId="0" borderId="33" xfId="0" applyFont="1" applyBorder="1" applyAlignment="1" applyProtection="1">
      <alignment/>
      <protection/>
    </xf>
    <xf numFmtId="0" fontId="7" fillId="0" borderId="27" xfId="0" applyFont="1" applyBorder="1" applyAlignment="1" applyProtection="1">
      <alignment horizontal="right"/>
      <protection/>
    </xf>
    <xf numFmtId="0" fontId="4" fillId="0" borderId="27" xfId="0" applyFont="1" applyBorder="1" applyAlignment="1" applyProtection="1">
      <alignment/>
      <protection/>
    </xf>
    <xf numFmtId="0" fontId="0" fillId="0" borderId="118" xfId="0" applyBorder="1" applyAlignment="1" applyProtection="1">
      <alignment horizontal="center" wrapText="1"/>
      <protection/>
    </xf>
    <xf numFmtId="0" fontId="0" fillId="0" borderId="118" xfId="0" applyBorder="1" applyAlignment="1" applyProtection="1">
      <alignment horizontal="center"/>
      <protection/>
    </xf>
    <xf numFmtId="0" fontId="0" fillId="0" borderId="0" xfId="0" applyBorder="1" applyAlignment="1" applyProtection="1">
      <alignment horizontal="left" indent="2"/>
      <protection/>
    </xf>
    <xf numFmtId="0" fontId="0" fillId="0" borderId="0" xfId="0" applyFont="1" applyBorder="1" applyAlignment="1" applyProtection="1">
      <alignment horizontal="left" indent="2"/>
      <protection/>
    </xf>
    <xf numFmtId="0" fontId="0" fillId="0" borderId="0" xfId="0" applyFont="1" applyBorder="1" applyAlignment="1" applyProtection="1">
      <alignment wrapText="1"/>
      <protection/>
    </xf>
    <xf numFmtId="0" fontId="0" fillId="0" borderId="0" xfId="0" applyBorder="1" applyAlignment="1" applyProtection="1">
      <alignment horizontal="left" indent="4"/>
      <protection/>
    </xf>
    <xf numFmtId="0" fontId="0" fillId="0" borderId="17" xfId="0" applyBorder="1" applyAlignment="1" applyProtection="1">
      <alignment horizontal="left" indent="4"/>
      <protection/>
    </xf>
    <xf numFmtId="170" fontId="0" fillId="0" borderId="17" xfId="0" applyNumberFormat="1" applyFill="1" applyBorder="1" applyAlignment="1" applyProtection="1">
      <alignment horizontal="right"/>
      <protection/>
    </xf>
    <xf numFmtId="170" fontId="0" fillId="0" borderId="28" xfId="0" applyNumberFormat="1" applyFill="1" applyBorder="1" applyAlignment="1" applyProtection="1">
      <alignment/>
      <protection/>
    </xf>
    <xf numFmtId="170" fontId="0" fillId="0" borderId="28" xfId="0" applyNumberFormat="1" applyFill="1" applyBorder="1" applyAlignment="1" applyProtection="1">
      <alignment horizontal="right"/>
      <protection/>
    </xf>
    <xf numFmtId="0" fontId="0" fillId="0" borderId="32" xfId="0" applyBorder="1" applyAlignment="1" applyProtection="1">
      <alignment horizontal="left" indent="2"/>
      <protection/>
    </xf>
    <xf numFmtId="170" fontId="0" fillId="0" borderId="32" xfId="0" applyNumberFormat="1" applyFill="1" applyBorder="1" applyAlignment="1" applyProtection="1">
      <alignment/>
      <protection/>
    </xf>
    <xf numFmtId="170" fontId="0" fillId="0" borderId="32" xfId="0" applyNumberFormat="1" applyFill="1" applyBorder="1" applyAlignment="1" applyProtection="1">
      <alignment horizontal="right"/>
      <protection/>
    </xf>
    <xf numFmtId="0" fontId="4" fillId="0" borderId="21" xfId="0" applyFont="1" applyBorder="1" applyAlignment="1" applyProtection="1">
      <alignment/>
      <protection/>
    </xf>
    <xf numFmtId="0" fontId="0" fillId="0" borderId="22" xfId="0" applyBorder="1" applyAlignment="1" applyProtection="1">
      <alignment horizontal="left" indent="2"/>
      <protection/>
    </xf>
    <xf numFmtId="170" fontId="0" fillId="0" borderId="22" xfId="0" applyNumberFormat="1" applyFill="1" applyBorder="1" applyAlignment="1" applyProtection="1">
      <alignment/>
      <protection/>
    </xf>
    <xf numFmtId="170" fontId="0" fillId="0" borderId="22" xfId="0" applyNumberFormat="1" applyFill="1" applyBorder="1" applyAlignment="1" applyProtection="1">
      <alignment horizontal="right"/>
      <protection/>
    </xf>
    <xf numFmtId="170" fontId="4" fillId="0" borderId="0" xfId="0" applyNumberFormat="1" applyFont="1" applyBorder="1" applyAlignment="1" applyProtection="1">
      <alignment/>
      <protection/>
    </xf>
    <xf numFmtId="0" fontId="11" fillId="0" borderId="8" xfId="0" applyFont="1" applyBorder="1" applyAlignment="1" applyProtection="1">
      <alignment horizontal="left"/>
      <protection/>
    </xf>
    <xf numFmtId="170" fontId="0" fillId="0" borderId="11" xfId="45" applyNumberFormat="1" applyFont="1" applyFill="1" applyBorder="1" applyAlignment="1" applyProtection="1">
      <alignment/>
      <protection/>
    </xf>
    <xf numFmtId="170" fontId="0" fillId="0" borderId="99" xfId="0" applyNumberFormat="1" applyBorder="1" applyAlignment="1" applyProtection="1">
      <alignment/>
      <protection/>
    </xf>
    <xf numFmtId="170" fontId="0" fillId="0" borderId="99" xfId="45" applyNumberFormat="1" applyFont="1" applyFill="1" applyBorder="1" applyAlignment="1" applyProtection="1">
      <alignment/>
      <protection/>
    </xf>
    <xf numFmtId="170" fontId="0" fillId="0" borderId="25" xfId="0" applyNumberFormat="1" applyBorder="1" applyAlignment="1" applyProtection="1">
      <alignment/>
      <protection/>
    </xf>
    <xf numFmtId="0" fontId="4" fillId="0" borderId="22" xfId="0" applyFont="1" applyBorder="1" applyAlignment="1" applyProtection="1">
      <alignment/>
      <protection/>
    </xf>
    <xf numFmtId="170" fontId="4" fillId="0" borderId="22" xfId="0" applyNumberFormat="1" applyFont="1" applyBorder="1" applyAlignment="1" applyProtection="1">
      <alignment/>
      <protection/>
    </xf>
    <xf numFmtId="170" fontId="4" fillId="0" borderId="22" xfId="0" applyNumberFormat="1" applyFont="1" applyBorder="1" applyAlignment="1" applyProtection="1">
      <alignment horizontal="left"/>
      <protection/>
    </xf>
    <xf numFmtId="170" fontId="0" fillId="0" borderId="22" xfId="0" applyNumberFormat="1" applyBorder="1" applyAlignment="1" applyProtection="1">
      <alignment/>
      <protection/>
    </xf>
    <xf numFmtId="170" fontId="4" fillId="0" borderId="0" xfId="0" applyNumberFormat="1" applyFont="1" applyBorder="1" applyAlignment="1" applyProtection="1">
      <alignment horizontal="left"/>
      <protection/>
    </xf>
    <xf numFmtId="170" fontId="0" fillId="0" borderId="8" xfId="0" applyNumberFormat="1" applyFill="1" applyBorder="1" applyAlignment="1" applyProtection="1">
      <alignment horizontal="right"/>
      <protection/>
    </xf>
    <xf numFmtId="0" fontId="0" fillId="0" borderId="28" xfId="0" applyBorder="1" applyAlignment="1" applyProtection="1">
      <alignment horizontal="left" indent="4"/>
      <protection/>
    </xf>
    <xf numFmtId="170" fontId="0" fillId="0" borderId="99" xfId="0" applyNumberFormat="1" applyBorder="1" applyAlignment="1" applyProtection="1">
      <alignment horizontal="right"/>
      <protection/>
    </xf>
    <xf numFmtId="170" fontId="0" fillId="0" borderId="99" xfId="0" applyNumberFormat="1" applyFill="1" applyBorder="1" applyAlignment="1" applyProtection="1">
      <alignment/>
      <protection/>
    </xf>
    <xf numFmtId="0" fontId="0" fillId="0" borderId="22" xfId="0" applyBorder="1" applyAlignment="1" applyProtection="1">
      <alignment horizontal="left" indent="4"/>
      <protection/>
    </xf>
    <xf numFmtId="0" fontId="0" fillId="0" borderId="0" xfId="0" applyAlignment="1" applyProtection="1">
      <alignment horizontal="left" indent="2"/>
      <protection/>
    </xf>
    <xf numFmtId="170" fontId="0" fillId="0" borderId="7" xfId="0" applyNumberFormat="1" applyBorder="1" applyAlignment="1" applyProtection="1">
      <alignment horizontal="right"/>
      <protection/>
    </xf>
    <xf numFmtId="0" fontId="0" fillId="0" borderId="7" xfId="0" applyBorder="1" applyAlignment="1" applyProtection="1">
      <alignment horizontal="right"/>
      <protection/>
    </xf>
    <xf numFmtId="0" fontId="0" fillId="0" borderId="7" xfId="0" applyFill="1" applyBorder="1" applyAlignment="1" applyProtection="1">
      <alignment horizontal="right"/>
      <protection/>
    </xf>
    <xf numFmtId="0" fontId="0" fillId="0" borderId="28" xfId="0" applyBorder="1" applyAlignment="1" applyProtection="1">
      <alignment horizontal="left"/>
      <protection/>
    </xf>
    <xf numFmtId="170" fontId="0" fillId="0" borderId="99" xfId="0" applyNumberFormat="1" applyFill="1" applyBorder="1" applyAlignment="1" applyProtection="1">
      <alignment horizontal="right"/>
      <protection/>
    </xf>
    <xf numFmtId="170" fontId="4" fillId="0" borderId="0" xfId="0" applyNumberFormat="1" applyFont="1" applyBorder="1" applyAlignment="1" applyProtection="1">
      <alignment horizontal="right"/>
      <protection/>
    </xf>
    <xf numFmtId="170" fontId="0" fillId="0" borderId="113" xfId="0" applyNumberFormat="1" applyFont="1" applyBorder="1" applyAlignment="1" applyProtection="1">
      <alignment horizontal="right"/>
      <protection/>
    </xf>
    <xf numFmtId="170" fontId="11" fillId="0" borderId="0" xfId="0" applyNumberFormat="1" applyFont="1" applyBorder="1" applyAlignment="1" applyProtection="1">
      <alignment horizontal="right"/>
      <protection/>
    </xf>
    <xf numFmtId="170" fontId="0" fillId="0" borderId="101" xfId="0" applyNumberFormat="1" applyFont="1" applyBorder="1" applyAlignment="1" applyProtection="1">
      <alignment horizontal="right"/>
      <protection/>
    </xf>
    <xf numFmtId="1" fontId="11" fillId="0" borderId="0" xfId="0" applyNumberFormat="1" applyFont="1" applyBorder="1" applyAlignment="1" applyProtection="1">
      <alignment horizontal="right"/>
      <protection/>
    </xf>
    <xf numFmtId="170" fontId="0" fillId="0" borderId="0" xfId="0" applyNumberFormat="1" applyFont="1" applyBorder="1" applyAlignment="1" applyProtection="1">
      <alignment horizontal="right"/>
      <protection/>
    </xf>
    <xf numFmtId="1" fontId="11" fillId="0" borderId="28" xfId="0" applyNumberFormat="1" applyFont="1" applyBorder="1" applyAlignment="1" applyProtection="1">
      <alignment horizontal="right"/>
      <protection/>
    </xf>
    <xf numFmtId="170" fontId="0" fillId="0" borderId="28" xfId="0" applyNumberFormat="1" applyFont="1" applyBorder="1" applyAlignment="1" applyProtection="1">
      <alignment horizontal="right"/>
      <protection/>
    </xf>
    <xf numFmtId="170" fontId="13" fillId="0" borderId="0" xfId="0" applyNumberFormat="1" applyFont="1" applyBorder="1" applyAlignment="1" applyProtection="1">
      <alignment horizontal="center" vertical="center" wrapText="1"/>
      <protection/>
    </xf>
    <xf numFmtId="0" fontId="7" fillId="0" borderId="25" xfId="0" applyFont="1" applyBorder="1" applyAlignment="1" applyProtection="1">
      <alignment horizontal="left"/>
      <protection/>
    </xf>
    <xf numFmtId="170" fontId="13" fillId="0" borderId="25" xfId="0" applyNumberFormat="1" applyFont="1" applyBorder="1" applyAlignment="1" applyProtection="1">
      <alignment horizontal="center" vertical="center" wrapText="1"/>
      <protection/>
    </xf>
    <xf numFmtId="0" fontId="11" fillId="0" borderId="25" xfId="0" applyFont="1" applyBorder="1" applyAlignment="1" applyProtection="1">
      <alignment/>
      <protection/>
    </xf>
    <xf numFmtId="0" fontId="0" fillId="0" borderId="67" xfId="0" applyFont="1" applyBorder="1" applyAlignment="1" applyProtection="1">
      <alignment/>
      <protection/>
    </xf>
    <xf numFmtId="0" fontId="0" fillId="0" borderId="27" xfId="0" applyFont="1" applyBorder="1" applyAlignment="1" applyProtection="1">
      <alignment/>
      <protection/>
    </xf>
    <xf numFmtId="0" fontId="7" fillId="0" borderId="27" xfId="0" applyFont="1" applyBorder="1" applyAlignment="1" applyProtection="1">
      <alignment horizontal="right"/>
      <protection/>
    </xf>
    <xf numFmtId="0" fontId="4" fillId="0" borderId="27" xfId="0" applyFont="1" applyBorder="1" applyAlignment="1" applyProtection="1">
      <alignment/>
      <protection/>
    </xf>
    <xf numFmtId="170" fontId="13" fillId="0" borderId="27" xfId="0" applyNumberFormat="1" applyFont="1" applyBorder="1" applyAlignment="1" applyProtection="1">
      <alignment horizontal="center" vertical="center" wrapText="1"/>
      <protection/>
    </xf>
    <xf numFmtId="173" fontId="34" fillId="0" borderId="67" xfId="0" applyNumberFormat="1" applyFont="1" applyBorder="1" applyAlignment="1" applyProtection="1">
      <alignment/>
      <protection/>
    </xf>
    <xf numFmtId="0" fontId="0" fillId="0" borderId="8" xfId="0" applyFont="1" applyBorder="1" applyAlignment="1" applyProtection="1">
      <alignment/>
      <protection/>
    </xf>
    <xf numFmtId="0" fontId="4" fillId="0" borderId="0" xfId="0" applyFont="1" applyBorder="1" applyAlignment="1" applyProtection="1">
      <alignment horizontal="left"/>
      <protection/>
    </xf>
    <xf numFmtId="0" fontId="0" fillId="0" borderId="0" xfId="0" applyFont="1" applyBorder="1" applyAlignment="1" applyProtection="1">
      <alignment horizontal="center"/>
      <protection/>
    </xf>
    <xf numFmtId="173" fontId="34" fillId="0" borderId="8" xfId="0" applyNumberFormat="1" applyFont="1" applyBorder="1" applyAlignment="1" applyProtection="1">
      <alignment/>
      <protection/>
    </xf>
    <xf numFmtId="0" fontId="0" fillId="0" borderId="0" xfId="0" applyFont="1" applyAlignment="1" applyProtection="1">
      <alignment horizontal="left" indent="2"/>
      <protection/>
    </xf>
    <xf numFmtId="170" fontId="0" fillId="0" borderId="0" xfId="0" applyNumberFormat="1" applyFont="1" applyBorder="1" applyAlignment="1" applyProtection="1">
      <alignment/>
      <protection/>
    </xf>
    <xf numFmtId="173" fontId="34" fillId="0" borderId="8" xfId="0" applyNumberFormat="1" applyFont="1" applyBorder="1" applyAlignment="1" applyProtection="1">
      <alignment horizontal="center"/>
      <protection/>
    </xf>
    <xf numFmtId="170" fontId="0" fillId="0" borderId="19" xfId="0" applyNumberFormat="1" applyFont="1" applyBorder="1" applyAlignment="1" applyProtection="1">
      <alignment horizontal="right"/>
      <protection/>
    </xf>
    <xf numFmtId="170" fontId="0" fillId="0" borderId="19" xfId="0" applyNumberFormat="1" applyFont="1" applyBorder="1" applyAlignment="1" applyProtection="1">
      <alignment/>
      <protection/>
    </xf>
    <xf numFmtId="170" fontId="0" fillId="0" borderId="27" xfId="0" applyNumberFormat="1" applyFont="1" applyBorder="1" applyAlignment="1" applyProtection="1">
      <alignment horizontal="right"/>
      <protection/>
    </xf>
    <xf numFmtId="170" fontId="0" fillId="0" borderId="27" xfId="0" applyNumberFormat="1" applyFont="1" applyBorder="1" applyAlignment="1" applyProtection="1">
      <alignment/>
      <protection/>
    </xf>
    <xf numFmtId="0" fontId="0" fillId="0" borderId="32" xfId="0" applyFont="1" applyBorder="1" applyAlignment="1" applyProtection="1">
      <alignment/>
      <protection/>
    </xf>
    <xf numFmtId="170" fontId="11" fillId="0" borderId="99" xfId="0" applyNumberFormat="1" applyFont="1" applyBorder="1" applyAlignment="1" applyProtection="1">
      <alignment horizontal="center"/>
      <protection/>
    </xf>
    <xf numFmtId="170" fontId="0"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right"/>
      <protection/>
    </xf>
    <xf numFmtId="0" fontId="0" fillId="0" borderId="28" xfId="0" applyFont="1" applyBorder="1" applyAlignment="1" applyProtection="1">
      <alignment horizontal="left" indent="2"/>
      <protection/>
    </xf>
    <xf numFmtId="0" fontId="4" fillId="0" borderId="22" xfId="0" applyFont="1" applyBorder="1" applyAlignment="1" applyProtection="1">
      <alignment horizontal="left"/>
      <protection/>
    </xf>
    <xf numFmtId="170" fontId="7" fillId="0" borderId="22" xfId="0" applyNumberFormat="1" applyFont="1" applyBorder="1" applyAlignment="1" applyProtection="1">
      <alignment vertical="top"/>
      <protection/>
    </xf>
    <xf numFmtId="173" fontId="0" fillId="0" borderId="22" xfId="0" applyNumberFormat="1" applyFont="1" applyFill="1" applyBorder="1" applyAlignment="1" applyProtection="1">
      <alignment horizontal="center"/>
      <protection/>
    </xf>
    <xf numFmtId="170" fontId="11" fillId="0" borderId="22" xfId="0" applyNumberFormat="1" applyFont="1" applyFill="1" applyBorder="1" applyAlignment="1" applyProtection="1">
      <alignment horizontal="center"/>
      <protection/>
    </xf>
    <xf numFmtId="0" fontId="0" fillId="0" borderId="22" xfId="0" applyFont="1" applyBorder="1" applyAlignment="1" applyProtection="1">
      <alignment/>
      <protection/>
    </xf>
    <xf numFmtId="170" fontId="0" fillId="0" borderId="0" xfId="0" applyNumberFormat="1" applyFont="1" applyFill="1" applyBorder="1" applyAlignment="1" applyProtection="1">
      <alignment/>
      <protection/>
    </xf>
    <xf numFmtId="0" fontId="0" fillId="0" borderId="28" xfId="0" applyFont="1" applyBorder="1" applyAlignment="1" applyProtection="1">
      <alignment horizontal="left" indent="4"/>
      <protection/>
    </xf>
    <xf numFmtId="170" fontId="11" fillId="0" borderId="28" xfId="0" applyNumberFormat="1" applyFont="1" applyBorder="1" applyAlignment="1" applyProtection="1">
      <alignment horizontal="right"/>
      <protection/>
    </xf>
    <xf numFmtId="170" fontId="0" fillId="0" borderId="0" xfId="0" applyNumberFormat="1" applyFont="1" applyAlignment="1" applyProtection="1">
      <alignment/>
      <protection/>
    </xf>
    <xf numFmtId="0" fontId="11" fillId="0" borderId="22" xfId="0" applyFont="1" applyBorder="1" applyAlignment="1" applyProtection="1">
      <alignment/>
      <protection/>
    </xf>
    <xf numFmtId="173" fontId="3" fillId="0" borderId="8" xfId="0" applyNumberFormat="1" applyFont="1" applyBorder="1" applyAlignment="1" applyProtection="1">
      <alignment horizontal="center"/>
      <protection/>
    </xf>
    <xf numFmtId="170" fontId="11" fillId="0" borderId="99" xfId="0" applyNumberFormat="1" applyFont="1" applyBorder="1" applyAlignment="1" applyProtection="1">
      <alignment/>
      <protection/>
    </xf>
    <xf numFmtId="0" fontId="4" fillId="0" borderId="22" xfId="0" applyFont="1" applyBorder="1" applyAlignment="1" applyProtection="1">
      <alignment/>
      <protection/>
    </xf>
    <xf numFmtId="0" fontId="0" fillId="0" borderId="22" xfId="0" applyFont="1" applyBorder="1" applyAlignment="1" applyProtection="1">
      <alignment horizontal="left" indent="2"/>
      <protection/>
    </xf>
    <xf numFmtId="170" fontId="0" fillId="0" borderId="22" xfId="0" applyNumberFormat="1" applyFont="1" applyBorder="1" applyAlignment="1" applyProtection="1">
      <alignment horizontal="right"/>
      <protection/>
    </xf>
    <xf numFmtId="170" fontId="11" fillId="0" borderId="22" xfId="0" applyNumberFormat="1" applyFont="1" applyBorder="1" applyAlignment="1" applyProtection="1">
      <alignment horizontal="right"/>
      <protection/>
    </xf>
    <xf numFmtId="173" fontId="3" fillId="0" borderId="8" xfId="0" applyNumberFormat="1" applyFont="1" applyBorder="1" applyAlignment="1" applyProtection="1">
      <alignment/>
      <protection/>
    </xf>
    <xf numFmtId="173" fontId="0" fillId="0" borderId="8" xfId="0" applyNumberFormat="1" applyFont="1" applyBorder="1" applyAlignment="1" applyProtection="1">
      <alignment/>
      <protection/>
    </xf>
    <xf numFmtId="170" fontId="0" fillId="0" borderId="87" xfId="0" applyNumberFormat="1" applyBorder="1" applyAlignment="1" applyProtection="1">
      <alignment horizontal="right"/>
      <protection/>
    </xf>
    <xf numFmtId="173" fontId="11" fillId="0" borderId="8" xfId="0" applyNumberFormat="1" applyFont="1" applyBorder="1" applyAlignment="1" applyProtection="1">
      <alignment/>
      <protection/>
    </xf>
    <xf numFmtId="0" fontId="11" fillId="0" borderId="58" xfId="0" applyFont="1" applyBorder="1" applyAlignment="1" applyProtection="1">
      <alignment/>
      <protection/>
    </xf>
    <xf numFmtId="1" fontId="4" fillId="33" borderId="57" xfId="0" applyNumberFormat="1" applyFont="1" applyFill="1" applyBorder="1" applyAlignment="1" applyProtection="1">
      <alignment horizontal="center"/>
      <protection locked="0"/>
    </xf>
    <xf numFmtId="170" fontId="0" fillId="33" borderId="113" xfId="0" applyNumberFormat="1" applyFill="1" applyBorder="1" applyAlignment="1" applyProtection="1">
      <alignment horizontal="right"/>
      <protection locked="0"/>
    </xf>
    <xf numFmtId="170" fontId="0" fillId="33" borderId="101" xfId="0" applyNumberFormat="1" applyFill="1" applyBorder="1" applyAlignment="1" applyProtection="1">
      <alignment horizontal="right"/>
      <protection locked="0"/>
    </xf>
    <xf numFmtId="170" fontId="0" fillId="33" borderId="87" xfId="0" applyNumberFormat="1" applyFill="1" applyBorder="1" applyAlignment="1" applyProtection="1">
      <alignment horizontal="right"/>
      <protection locked="0"/>
    </xf>
    <xf numFmtId="170" fontId="0" fillId="33" borderId="104" xfId="0" applyNumberFormat="1" applyFill="1" applyBorder="1" applyAlignment="1" applyProtection="1">
      <alignment/>
      <protection locked="0"/>
    </xf>
    <xf numFmtId="170" fontId="0" fillId="33" borderId="87" xfId="0" applyNumberFormat="1" applyFont="1" applyFill="1" applyBorder="1" applyAlignment="1" applyProtection="1">
      <alignment horizontal="right"/>
      <protection locked="0"/>
    </xf>
    <xf numFmtId="1" fontId="4" fillId="33" borderId="57" xfId="0" applyNumberFormat="1" applyFont="1" applyFill="1" applyBorder="1" applyAlignment="1" applyProtection="1">
      <alignment horizontal="center" vertical="center" wrapText="1"/>
      <protection locked="0"/>
    </xf>
    <xf numFmtId="170" fontId="0" fillId="33" borderId="57" xfId="0" applyNumberFormat="1" applyFont="1" applyFill="1" applyBorder="1" applyAlignment="1" applyProtection="1">
      <alignment horizontal="right"/>
      <protection locked="0"/>
    </xf>
    <xf numFmtId="173" fontId="0" fillId="33" borderId="57" xfId="0" applyNumberFormat="1" applyFont="1" applyFill="1" applyBorder="1" applyAlignment="1" applyProtection="1">
      <alignment horizontal="center"/>
      <protection locked="0"/>
    </xf>
    <xf numFmtId="170" fontId="0" fillId="33" borderId="101" xfId="0" applyNumberFormat="1" applyFont="1" applyFill="1" applyBorder="1" applyAlignment="1" applyProtection="1">
      <alignment horizontal="right"/>
      <protection locked="0"/>
    </xf>
    <xf numFmtId="0" fontId="0" fillId="0" borderId="11" xfId="0" applyBorder="1" applyAlignment="1" applyProtection="1">
      <alignment horizontal="left" indent="1"/>
      <protection/>
    </xf>
    <xf numFmtId="0" fontId="0" fillId="0" borderId="18" xfId="0" applyBorder="1" applyAlignment="1" applyProtection="1">
      <alignment horizontal="left" indent="1"/>
      <protection/>
    </xf>
    <xf numFmtId="170" fontId="0" fillId="0" borderId="0" xfId="0" applyNumberFormat="1" applyBorder="1" applyAlignment="1" applyProtection="1">
      <alignment horizontal="center"/>
      <protection/>
    </xf>
    <xf numFmtId="0" fontId="0" fillId="0" borderId="11" xfId="0" applyFill="1" applyBorder="1" applyAlignment="1" applyProtection="1">
      <alignment horizontal="left" indent="1"/>
      <protection/>
    </xf>
    <xf numFmtId="0" fontId="0" fillId="0" borderId="24" xfId="0" applyFill="1" applyBorder="1" applyAlignment="1" applyProtection="1">
      <alignment horizontal="left"/>
      <protection/>
    </xf>
    <xf numFmtId="3" fontId="0" fillId="0" borderId="0" xfId="0" applyNumberFormat="1" applyBorder="1" applyAlignment="1" applyProtection="1">
      <alignment/>
      <protection/>
    </xf>
    <xf numFmtId="1" fontId="0" fillId="0" borderId="0" xfId="0" applyNumberFormat="1" applyBorder="1" applyAlignment="1" applyProtection="1">
      <alignment/>
      <protection/>
    </xf>
    <xf numFmtId="1" fontId="0" fillId="0" borderId="0" xfId="0" applyNumberFormat="1" applyBorder="1" applyAlignment="1" applyProtection="1">
      <alignment horizontal="right"/>
      <protection/>
    </xf>
    <xf numFmtId="0" fontId="0" fillId="0" borderId="0" xfId="0" applyNumberFormat="1" applyBorder="1" applyAlignment="1" applyProtection="1">
      <alignment horizontal="right"/>
      <protection/>
    </xf>
    <xf numFmtId="0" fontId="0" fillId="0" borderId="0" xfId="0" applyBorder="1" applyAlignment="1" applyProtection="1">
      <alignment horizontal="left" indent="1"/>
      <protection/>
    </xf>
    <xf numFmtId="170" fontId="0" fillId="0" borderId="0" xfId="0" applyNumberFormat="1" applyFont="1" applyBorder="1" applyAlignment="1" applyProtection="1">
      <alignment/>
      <protection/>
    </xf>
    <xf numFmtId="170" fontId="0" fillId="0" borderId="17" xfId="0" applyNumberFormat="1" applyFont="1" applyBorder="1" applyAlignment="1" applyProtection="1">
      <alignment/>
      <protection/>
    </xf>
    <xf numFmtId="0" fontId="0" fillId="0" borderId="19" xfId="0" applyBorder="1" applyAlignment="1" applyProtection="1">
      <alignment horizontal="left" indent="1"/>
      <protection/>
    </xf>
    <xf numFmtId="0" fontId="0" fillId="0" borderId="18" xfId="0" applyFill="1" applyBorder="1" applyAlignment="1" applyProtection="1">
      <alignment horizontal="left" indent="1"/>
      <protection/>
    </xf>
    <xf numFmtId="0" fontId="22" fillId="0" borderId="38" xfId="0" applyFont="1" applyBorder="1" applyAlignment="1">
      <alignment horizontal="center"/>
    </xf>
    <xf numFmtId="170" fontId="22" fillId="0" borderId="38" xfId="0" applyNumberFormat="1" applyFont="1" applyBorder="1" applyAlignment="1">
      <alignment horizontal="center"/>
    </xf>
    <xf numFmtId="0" fontId="22" fillId="0" borderId="86" xfId="0" applyFont="1" applyBorder="1" applyAlignment="1">
      <alignment horizontal="center"/>
    </xf>
    <xf numFmtId="170" fontId="22" fillId="0" borderId="107" xfId="0" applyNumberFormat="1" applyFont="1" applyBorder="1" applyAlignment="1">
      <alignment horizontal="center"/>
    </xf>
    <xf numFmtId="170" fontId="22" fillId="0" borderId="132" xfId="0" applyNumberFormat="1" applyFont="1" applyBorder="1" applyAlignment="1">
      <alignment horizontal="center"/>
    </xf>
    <xf numFmtId="6" fontId="16" fillId="0" borderId="53" xfId="0" applyNumberFormat="1" applyFont="1" applyFill="1" applyBorder="1" applyAlignment="1">
      <alignment horizontal="center" wrapText="1"/>
    </xf>
    <xf numFmtId="6" fontId="16" fillId="0" borderId="54" xfId="0" applyNumberFormat="1" applyFont="1" applyFill="1" applyBorder="1" applyAlignment="1">
      <alignment horizontal="center" wrapText="1"/>
    </xf>
    <xf numFmtId="6" fontId="16" fillId="0" borderId="55" xfId="0" applyNumberFormat="1" applyFont="1" applyFill="1" applyBorder="1" applyAlignment="1">
      <alignment horizontal="center" wrapText="1"/>
    </xf>
    <xf numFmtId="170" fontId="0" fillId="33" borderId="49" xfId="0" applyNumberFormat="1" applyFont="1" applyFill="1" applyBorder="1" applyAlignment="1" applyProtection="1">
      <alignment/>
      <protection locked="0"/>
    </xf>
    <xf numFmtId="0" fontId="4" fillId="0" borderId="33"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2" xfId="0" applyFont="1" applyBorder="1" applyAlignment="1" applyProtection="1">
      <alignment horizontal="center" wrapText="1"/>
      <protection/>
    </xf>
    <xf numFmtId="0" fontId="0" fillId="0" borderId="31" xfId="0" applyFont="1" applyBorder="1" applyAlignment="1" applyProtection="1">
      <alignment horizontal="center" wrapText="1"/>
      <protection/>
    </xf>
    <xf numFmtId="0" fontId="0" fillId="0" borderId="122" xfId="0" applyFont="1" applyBorder="1" applyAlignment="1" applyProtection="1">
      <alignment horizontal="center" vertical="center" wrapText="1"/>
      <protection/>
    </xf>
    <xf numFmtId="0" fontId="0" fillId="0" borderId="7" xfId="0" applyFont="1" applyBorder="1" applyAlignment="1" applyProtection="1">
      <alignment horizontal="center" vertical="center" wrapText="1"/>
      <protection/>
    </xf>
    <xf numFmtId="0" fontId="0" fillId="0" borderId="7"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0" fillId="0" borderId="0" xfId="0" applyFont="1" applyBorder="1" applyAlignment="1" applyProtection="1">
      <alignment horizontal="center" vertical="center"/>
      <protection/>
    </xf>
    <xf numFmtId="0" fontId="0" fillId="0" borderId="60" xfId="0" applyFont="1" applyFill="1" applyBorder="1" applyAlignment="1" applyProtection="1">
      <alignment/>
      <protection/>
    </xf>
    <xf numFmtId="0" fontId="4" fillId="0" borderId="11"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0" fillId="0" borderId="28" xfId="0" applyFont="1" applyBorder="1" applyAlignment="1" applyProtection="1">
      <alignment horizontal="center" wrapText="1"/>
      <protection/>
    </xf>
    <xf numFmtId="10" fontId="0" fillId="33" borderId="124" xfId="0" applyNumberFormat="1" applyFont="1" applyFill="1" applyBorder="1" applyAlignment="1" applyProtection="1">
      <alignment horizontal="right" vertical="center" wrapText="1"/>
      <protection locked="0"/>
    </xf>
    <xf numFmtId="10" fontId="0" fillId="33" borderId="49" xfId="0" applyNumberFormat="1" applyFont="1" applyFill="1" applyBorder="1" applyAlignment="1" applyProtection="1">
      <alignment horizontal="right" vertical="center" wrapText="1"/>
      <protection locked="0"/>
    </xf>
    <xf numFmtId="0" fontId="0" fillId="33" borderId="49" xfId="0" applyFont="1" applyFill="1" applyBorder="1" applyAlignment="1" applyProtection="1">
      <alignment horizontal="right"/>
      <protection locked="0"/>
    </xf>
    <xf numFmtId="10" fontId="0" fillId="33" borderId="125" xfId="0" applyNumberFormat="1" applyFont="1" applyFill="1" applyBorder="1" applyAlignment="1" applyProtection="1">
      <alignment horizontal="right" vertical="center" wrapText="1"/>
      <protection locked="0"/>
    </xf>
    <xf numFmtId="10" fontId="0" fillId="33" borderId="60" xfId="0" applyNumberFormat="1" applyFont="1" applyFill="1" applyBorder="1" applyAlignment="1" applyProtection="1">
      <alignment horizontal="right" vertical="center" wrapText="1"/>
      <protection locked="0"/>
    </xf>
    <xf numFmtId="0" fontId="0" fillId="33" borderId="60" xfId="0" applyFont="1" applyFill="1" applyBorder="1" applyAlignment="1" applyProtection="1">
      <alignment horizontal="right"/>
      <protection locked="0"/>
    </xf>
    <xf numFmtId="10" fontId="0" fillId="0" borderId="0" xfId="0" applyNumberFormat="1" applyFont="1" applyAlignment="1">
      <alignment horizontal="center"/>
    </xf>
    <xf numFmtId="169" fontId="11" fillId="0" borderId="17" xfId="0" applyNumberFormat="1"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0" borderId="0" xfId="0" applyBorder="1" applyAlignment="1" applyProtection="1" quotePrefix="1">
      <alignment horizontal="center"/>
      <protection/>
    </xf>
    <xf numFmtId="5" fontId="0" fillId="0" borderId="0" xfId="0" applyNumberFormat="1" applyFont="1" applyFill="1" applyBorder="1" applyAlignment="1" applyProtection="1" quotePrefix="1">
      <alignment horizontal="center"/>
      <protection/>
    </xf>
    <xf numFmtId="170" fontId="7" fillId="0" borderId="0" xfId="0" applyNumberFormat="1" applyFont="1" applyFill="1" applyBorder="1" applyAlignment="1" applyProtection="1">
      <alignment/>
      <protection/>
    </xf>
    <xf numFmtId="10" fontId="7" fillId="0" borderId="0" xfId="0" applyNumberFormat="1" applyFont="1" applyBorder="1" applyAlignment="1" applyProtection="1">
      <alignment horizontal="center"/>
      <protection/>
    </xf>
    <xf numFmtId="0" fontId="10" fillId="0" borderId="0" xfId="0" applyFont="1" applyFill="1" applyBorder="1" applyAlignment="1" applyProtection="1">
      <alignment/>
      <protection/>
    </xf>
    <xf numFmtId="10" fontId="0" fillId="0" borderId="19" xfId="0" applyNumberFormat="1" applyFont="1" applyFill="1" applyBorder="1" applyAlignment="1" applyProtection="1">
      <alignment/>
      <protection/>
    </xf>
    <xf numFmtId="10" fontId="4" fillId="38" borderId="106" xfId="0" applyNumberFormat="1" applyFont="1" applyFill="1" applyBorder="1" applyAlignment="1" applyProtection="1">
      <alignment/>
      <protection locked="0"/>
    </xf>
    <xf numFmtId="3" fontId="0" fillId="0" borderId="0" xfId="0" applyNumberFormat="1" applyFont="1" applyAlignment="1" applyProtection="1">
      <alignment/>
      <protection/>
    </xf>
    <xf numFmtId="170" fontId="0" fillId="33" borderId="113" xfId="0" applyNumberFormat="1" applyFont="1" applyFill="1" applyBorder="1" applyAlignment="1" applyProtection="1">
      <alignment horizontal="right"/>
      <protection locked="0"/>
    </xf>
    <xf numFmtId="170" fontId="0" fillId="33" borderId="104" xfId="0" applyNumberFormat="1" applyFont="1" applyFill="1" applyBorder="1" applyAlignment="1" applyProtection="1">
      <alignment horizontal="right"/>
      <protection locked="0"/>
    </xf>
    <xf numFmtId="169" fontId="0" fillId="0" borderId="28" xfId="0" applyNumberFormat="1" applyBorder="1" applyAlignment="1" applyProtection="1">
      <alignment horizontal="right"/>
      <protection/>
    </xf>
    <xf numFmtId="49" fontId="0" fillId="33" borderId="38" xfId="0" applyNumberFormat="1" applyFill="1" applyBorder="1" applyAlignment="1" applyProtection="1">
      <alignment/>
      <protection locked="0"/>
    </xf>
    <xf numFmtId="49" fontId="0" fillId="33" borderId="39" xfId="0" applyNumberFormat="1" applyFill="1" applyBorder="1" applyAlignment="1" applyProtection="1">
      <alignment/>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0" fillId="33" borderId="40" xfId="0" applyFill="1" applyBorder="1" applyAlignment="1" applyProtection="1">
      <alignment/>
      <protection locked="0"/>
    </xf>
    <xf numFmtId="0" fontId="0" fillId="33" borderId="41" xfId="0" applyFill="1" applyBorder="1" applyAlignment="1" applyProtection="1">
      <alignment/>
      <protection locked="0"/>
    </xf>
    <xf numFmtId="0" fontId="0" fillId="0" borderId="42" xfId="0" applyBorder="1" applyAlignment="1" applyProtection="1">
      <alignment horizont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0" fillId="33" borderId="38" xfId="0" applyFill="1" applyBorder="1" applyAlignment="1" applyProtection="1">
      <alignment horizontal="left"/>
      <protection locked="0"/>
    </xf>
    <xf numFmtId="0" fontId="0" fillId="33" borderId="39" xfId="0" applyFill="1" applyBorder="1" applyAlignment="1" applyProtection="1">
      <alignment horizontal="left"/>
      <protection locked="0"/>
    </xf>
    <xf numFmtId="0" fontId="4" fillId="0" borderId="33"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35" xfId="0" applyFont="1" applyBorder="1" applyAlignment="1" applyProtection="1">
      <alignment horizontal="center"/>
      <protection/>
    </xf>
    <xf numFmtId="0" fontId="4" fillId="0" borderId="134" xfId="0" applyFont="1" applyBorder="1" applyAlignment="1" applyProtection="1">
      <alignment horizontal="center"/>
      <protection/>
    </xf>
    <xf numFmtId="0" fontId="4" fillId="0" borderId="123" xfId="0" applyFont="1" applyBorder="1" applyAlignment="1" applyProtection="1">
      <alignment horizontal="center"/>
      <protection/>
    </xf>
    <xf numFmtId="0" fontId="4" fillId="0" borderId="135" xfId="0" applyFont="1" applyBorder="1" applyAlignment="1" applyProtection="1">
      <alignment horizontal="center"/>
      <protection/>
    </xf>
    <xf numFmtId="0" fontId="0" fillId="0" borderId="11" xfId="0" applyBorder="1" applyAlignment="1" applyProtection="1">
      <alignment horizontal="center"/>
      <protection/>
    </xf>
    <xf numFmtId="0" fontId="0" fillId="0" borderId="47" xfId="0"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7" fillId="0" borderId="0" xfId="0" applyFont="1" applyBorder="1" applyAlignment="1" applyProtection="1">
      <alignment horizontal="center"/>
      <protection/>
    </xf>
    <xf numFmtId="0" fontId="7" fillId="0" borderId="17"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35" xfId="0" applyFont="1" applyBorder="1" applyAlignment="1" applyProtection="1">
      <alignment horizontal="center"/>
      <protection/>
    </xf>
    <xf numFmtId="170" fontId="3" fillId="0" borderId="113" xfId="0" applyNumberFormat="1" applyFont="1" applyFill="1" applyBorder="1" applyAlignment="1" applyProtection="1">
      <alignment horizontal="center" vertical="center" wrapText="1"/>
      <protection/>
    </xf>
    <xf numFmtId="170" fontId="3" fillId="0" borderId="101" xfId="0" applyNumberFormat="1" applyFont="1" applyFill="1" applyBorder="1" applyAlignment="1" applyProtection="1">
      <alignment horizontal="center" vertical="center" wrapText="1"/>
      <protection/>
    </xf>
    <xf numFmtId="170" fontId="3" fillId="0" borderId="101" xfId="0" applyNumberFormat="1" applyFont="1" applyFill="1" applyBorder="1" applyAlignment="1" applyProtection="1">
      <alignment horizontal="center" vertical="center" wrapText="1"/>
      <protection/>
    </xf>
    <xf numFmtId="170" fontId="0" fillId="0" borderId="113" xfId="0" applyNumberFormat="1" applyFont="1" applyBorder="1" applyAlignment="1" applyProtection="1">
      <alignment horizontal="left" vertical="center" indent="1"/>
      <protection/>
    </xf>
    <xf numFmtId="170" fontId="0" fillId="0" borderId="101" xfId="0" applyNumberFormat="1" applyFont="1" applyBorder="1" applyAlignment="1" applyProtection="1">
      <alignment horizontal="left" vertical="center" indent="1"/>
      <protection/>
    </xf>
    <xf numFmtId="170" fontId="0" fillId="0" borderId="101" xfId="0" applyNumberFormat="1" applyFont="1" applyBorder="1" applyAlignment="1" applyProtection="1">
      <alignment horizontal="left" vertical="center" indent="1"/>
      <protection/>
    </xf>
    <xf numFmtId="0" fontId="4" fillId="0" borderId="23" xfId="0" applyFont="1" applyBorder="1" applyAlignment="1" applyProtection="1">
      <alignment horizontal="center"/>
      <protection/>
    </xf>
    <xf numFmtId="0" fontId="4" fillId="0" borderId="136" xfId="0" applyFont="1" applyBorder="1" applyAlignment="1" applyProtection="1">
      <alignment horizontal="center"/>
      <protection/>
    </xf>
    <xf numFmtId="170" fontId="3" fillId="0" borderId="87" xfId="0" applyNumberFormat="1" applyFont="1" applyFill="1" applyBorder="1" applyAlignment="1" applyProtection="1">
      <alignment horizontal="center" vertical="center" wrapText="1"/>
      <protection/>
    </xf>
    <xf numFmtId="170" fontId="0" fillId="0" borderId="87" xfId="0" applyNumberFormat="1" applyFont="1" applyBorder="1" applyAlignment="1" applyProtection="1">
      <alignment horizontal="left" vertical="center" indent="1"/>
      <protection/>
    </xf>
    <xf numFmtId="0" fontId="4" fillId="0" borderId="81" xfId="0"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137" xfId="0" applyFont="1" applyBorder="1" applyAlignment="1" applyProtection="1">
      <alignment horizontal="center"/>
      <protection/>
    </xf>
    <xf numFmtId="0" fontId="0" fillId="0" borderId="33"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35" xfId="0" applyFill="1" applyBorder="1" applyAlignment="1" applyProtection="1">
      <alignment horizontal="center"/>
      <protection/>
    </xf>
    <xf numFmtId="0" fontId="4" fillId="33" borderId="18" xfId="0" applyFont="1" applyFill="1" applyBorder="1" applyAlignment="1" applyProtection="1">
      <alignment horizontal="left"/>
      <protection locked="0"/>
    </xf>
    <xf numFmtId="0" fontId="4" fillId="33" borderId="19" xfId="0" applyFont="1" applyFill="1" applyBorder="1" applyAlignment="1" applyProtection="1">
      <alignment horizontal="left"/>
      <protection locked="0"/>
    </xf>
    <xf numFmtId="0" fontId="4" fillId="33" borderId="20" xfId="0" applyFont="1" applyFill="1" applyBorder="1" applyAlignment="1" applyProtection="1">
      <alignment horizontal="left"/>
      <protection locked="0"/>
    </xf>
    <xf numFmtId="0" fontId="4" fillId="33" borderId="33" xfId="0" applyFont="1" applyFill="1" applyBorder="1" applyAlignment="1" applyProtection="1">
      <alignment horizontal="left"/>
      <protection locked="0"/>
    </xf>
    <xf numFmtId="0" fontId="4" fillId="33" borderId="27" xfId="0" applyFont="1" applyFill="1" applyBorder="1" applyAlignment="1" applyProtection="1">
      <alignment horizontal="left"/>
      <protection locked="0"/>
    </xf>
    <xf numFmtId="0" fontId="4" fillId="33" borderId="35" xfId="0" applyFont="1" applyFill="1" applyBorder="1" applyAlignment="1" applyProtection="1">
      <alignment horizontal="left"/>
      <protection locked="0"/>
    </xf>
    <xf numFmtId="0" fontId="13" fillId="0" borderId="25"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19" xfId="0" applyFont="1" applyBorder="1" applyAlignment="1" applyProtection="1">
      <alignment horizontal="left" vertical="center" wrapText="1"/>
      <protection/>
    </xf>
    <xf numFmtId="0" fontId="13" fillId="0" borderId="20" xfId="0" applyFont="1" applyBorder="1" applyAlignment="1" applyProtection="1">
      <alignment horizontal="left" vertical="center" wrapText="1"/>
      <protection/>
    </xf>
    <xf numFmtId="0" fontId="0" fillId="0" borderId="11" xfId="0" applyBorder="1" applyAlignment="1" applyProtection="1">
      <alignment horizontal="left"/>
      <protection/>
    </xf>
    <xf numFmtId="0" fontId="0" fillId="0" borderId="0" xfId="0" applyBorder="1" applyAlignment="1" applyProtection="1">
      <alignment horizontal="left"/>
      <protection/>
    </xf>
    <xf numFmtId="0" fontId="0" fillId="0" borderId="24" xfId="0" applyBorder="1" applyAlignment="1" applyProtection="1">
      <alignment horizontal="left"/>
      <protection/>
    </xf>
    <xf numFmtId="0" fontId="0" fillId="0" borderId="25" xfId="0" applyBorder="1" applyAlignment="1" applyProtection="1">
      <alignment horizontal="left"/>
      <protection/>
    </xf>
    <xf numFmtId="170" fontId="10" fillId="0" borderId="105" xfId="0" applyNumberFormat="1" applyFont="1" applyBorder="1" applyAlignment="1" applyProtection="1">
      <alignment horizontal="right" indent="1"/>
      <protection/>
    </xf>
    <xf numFmtId="170" fontId="10" fillId="0" borderId="106" xfId="0" applyNumberFormat="1" applyFont="1" applyBorder="1" applyAlignment="1" applyProtection="1">
      <alignment horizontal="right" indent="1"/>
      <protection/>
    </xf>
    <xf numFmtId="170" fontId="10" fillId="0" borderId="88" xfId="0" applyNumberFormat="1" applyFont="1" applyBorder="1" applyAlignment="1" applyProtection="1">
      <alignment horizontal="right" indent="1"/>
      <protection/>
    </xf>
    <xf numFmtId="170" fontId="10" fillId="0" borderId="86" xfId="0" applyNumberFormat="1" applyFont="1" applyBorder="1" applyAlignment="1" applyProtection="1">
      <alignment horizontal="right" indent="1"/>
      <protection/>
    </xf>
    <xf numFmtId="0" fontId="23" fillId="0" borderId="0" xfId="0" applyFont="1" applyBorder="1" applyAlignment="1" applyProtection="1">
      <alignment horizontal="center" vertical="top" wrapText="1"/>
      <protection/>
    </xf>
    <xf numFmtId="0" fontId="23" fillId="0" borderId="19" xfId="0" applyFont="1" applyBorder="1" applyAlignment="1" applyProtection="1">
      <alignment horizontal="center" vertical="top" wrapText="1"/>
      <protection/>
    </xf>
    <xf numFmtId="0" fontId="4" fillId="0" borderId="11" xfId="0" applyFont="1" applyBorder="1" applyAlignment="1">
      <alignment horizontal="left"/>
    </xf>
    <xf numFmtId="0" fontId="4" fillId="0" borderId="0" xfId="0" applyFont="1" applyBorder="1" applyAlignment="1">
      <alignment horizontal="left"/>
    </xf>
    <xf numFmtId="0" fontId="4" fillId="0" borderId="33" xfId="0" applyFont="1" applyBorder="1" applyAlignment="1">
      <alignment horizontal="center"/>
    </xf>
    <xf numFmtId="0" fontId="4" fillId="0" borderId="27"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56" xfId="0" applyFont="1" applyBorder="1" applyAlignment="1">
      <alignment horizontal="left"/>
    </xf>
    <xf numFmtId="0" fontId="4" fillId="0" borderId="28" xfId="0" applyFont="1" applyBorder="1" applyAlignment="1">
      <alignment horizontal="left"/>
    </xf>
    <xf numFmtId="0" fontId="4" fillId="0" borderId="0" xfId="0" applyFont="1" applyBorder="1" applyAlignment="1">
      <alignment horizontal="center" wrapText="1"/>
    </xf>
    <xf numFmtId="0" fontId="4" fillId="0" borderId="105" xfId="0" applyFont="1" applyBorder="1" applyAlignment="1" applyProtection="1">
      <alignment horizontal="center"/>
      <protection/>
    </xf>
    <xf numFmtId="0" fontId="4" fillId="0" borderId="106" xfId="0" applyFont="1" applyBorder="1" applyAlignment="1" applyProtection="1">
      <alignment horizontal="center"/>
      <protection/>
    </xf>
    <xf numFmtId="170" fontId="0" fillId="0" borderId="89" xfId="0" applyNumberFormat="1" applyFont="1" applyFill="1" applyBorder="1" applyAlignment="1" applyProtection="1">
      <alignment horizontal="right"/>
      <protection/>
    </xf>
    <xf numFmtId="170" fontId="0" fillId="0" borderId="78" xfId="0" applyNumberFormat="1" applyFont="1" applyFill="1" applyBorder="1" applyAlignment="1" applyProtection="1">
      <alignment horizontal="right"/>
      <protection/>
    </xf>
    <xf numFmtId="170" fontId="0" fillId="0" borderId="18" xfId="0" applyNumberFormat="1" applyFill="1" applyBorder="1" applyAlignment="1" applyProtection="1">
      <alignment horizontal="right"/>
      <protection/>
    </xf>
    <xf numFmtId="170" fontId="0" fillId="0" borderId="20" xfId="0" applyNumberFormat="1" applyFill="1" applyBorder="1" applyAlignment="1" applyProtection="1">
      <alignment horizontal="right"/>
      <protection/>
    </xf>
    <xf numFmtId="170" fontId="7" fillId="0" borderId="33" xfId="0" applyNumberFormat="1" applyFont="1" applyBorder="1" applyAlignment="1" applyProtection="1">
      <alignment horizontal="right"/>
      <protection/>
    </xf>
    <xf numFmtId="170" fontId="7" fillId="0" borderId="35" xfId="0" applyNumberFormat="1" applyFont="1" applyBorder="1" applyAlignment="1" applyProtection="1">
      <alignment horizontal="right"/>
      <protection/>
    </xf>
    <xf numFmtId="0" fontId="15" fillId="0" borderId="61" xfId="0" applyFont="1" applyFill="1" applyBorder="1" applyAlignment="1">
      <alignment horizontal="center" wrapText="1"/>
    </xf>
    <xf numFmtId="0" fontId="15" fillId="0" borderId="62" xfId="0" applyFont="1" applyFill="1" applyBorder="1" applyAlignment="1">
      <alignment horizontal="center" wrapText="1"/>
    </xf>
    <xf numFmtId="0" fontId="16" fillId="0" borderId="138" xfId="0" applyFont="1" applyFill="1" applyBorder="1" applyAlignment="1">
      <alignment horizontal="center" wrapText="1"/>
    </xf>
    <xf numFmtId="0" fontId="15" fillId="0" borderId="139" xfId="0" applyFont="1" applyFill="1" applyBorder="1" applyAlignment="1">
      <alignment horizontal="center" wrapText="1"/>
    </xf>
    <xf numFmtId="0" fontId="15" fillId="0" borderId="140" xfId="0" applyFont="1" applyFill="1" applyBorder="1" applyAlignment="1">
      <alignment horizontal="center" wrapText="1"/>
    </xf>
    <xf numFmtId="0" fontId="15" fillId="0" borderId="24" xfId="0" applyFont="1" applyFill="1" applyBorder="1" applyAlignment="1">
      <alignment horizontal="center" wrapText="1"/>
    </xf>
    <xf numFmtId="0" fontId="15" fillId="0" borderId="25" xfId="0" applyFont="1" applyFill="1" applyBorder="1" applyAlignment="1">
      <alignment horizontal="center" wrapText="1"/>
    </xf>
    <xf numFmtId="0" fontId="15" fillId="0" borderId="26" xfId="0" applyFont="1" applyFill="1" applyBorder="1" applyAlignment="1">
      <alignment horizontal="center" wrapText="1"/>
    </xf>
    <xf numFmtId="170" fontId="0" fillId="0" borderId="118" xfId="0" applyNumberFormat="1" applyFont="1" applyBorder="1" applyAlignment="1" applyProtection="1">
      <alignment horizontal="center"/>
      <protection/>
    </xf>
    <xf numFmtId="0" fontId="0" fillId="0" borderId="11" xfId="0" applyFont="1" applyBorder="1" applyAlignment="1" applyProtection="1">
      <alignment horizontal="right" wrapText="1"/>
      <protection/>
    </xf>
    <xf numFmtId="0" fontId="0" fillId="0" borderId="0" xfId="0" applyFont="1" applyBorder="1" applyAlignment="1" applyProtection="1">
      <alignment horizontal="right" wrapText="1"/>
      <protection/>
    </xf>
    <xf numFmtId="0" fontId="0" fillId="0" borderId="18" xfId="0" applyFont="1" applyBorder="1" applyAlignment="1" applyProtection="1">
      <alignment horizontal="right" wrapText="1"/>
      <protection/>
    </xf>
    <xf numFmtId="0" fontId="0" fillId="0" borderId="19" xfId="0" applyFont="1" applyBorder="1" applyAlignment="1" applyProtection="1">
      <alignment horizontal="right" wrapText="1"/>
      <protection/>
    </xf>
    <xf numFmtId="0" fontId="13" fillId="0" borderId="11" xfId="0" applyFont="1" applyBorder="1" applyAlignment="1" applyProtection="1">
      <alignment horizontal="left" vertical="center" wrapText="1" indent="1"/>
      <protection/>
    </xf>
    <xf numFmtId="0" fontId="13" fillId="0" borderId="0" xfId="0" applyFont="1" applyBorder="1" applyAlignment="1" applyProtection="1">
      <alignment horizontal="left" vertical="center" indent="1"/>
      <protection/>
    </xf>
    <xf numFmtId="0" fontId="13" fillId="0" borderId="17" xfId="0" applyFont="1" applyBorder="1" applyAlignment="1" applyProtection="1">
      <alignment horizontal="left" vertical="center" indent="1"/>
      <protection/>
    </xf>
    <xf numFmtId="0" fontId="13" fillId="0" borderId="11" xfId="0" applyFont="1" applyBorder="1" applyAlignment="1" applyProtection="1">
      <alignment horizontal="left" vertical="center" indent="1"/>
      <protection/>
    </xf>
    <xf numFmtId="169" fontId="0" fillId="33" borderId="67" xfId="0" applyNumberFormat="1" applyFont="1" applyFill="1" applyBorder="1" applyAlignment="1" applyProtection="1">
      <alignment horizontal="center" vertical="center" wrapText="1"/>
      <protection locked="0"/>
    </xf>
    <xf numFmtId="169" fontId="0" fillId="33" borderId="58" xfId="0" applyNumberFormat="1" applyFont="1" applyFill="1" applyBorder="1" applyAlignment="1" applyProtection="1">
      <alignment horizontal="center" vertical="center" wrapText="1"/>
      <protection locked="0"/>
    </xf>
    <xf numFmtId="170" fontId="0" fillId="0" borderId="33" xfId="0" applyNumberFormat="1" applyBorder="1" applyAlignment="1" applyProtection="1">
      <alignment horizontal="center"/>
      <protection/>
    </xf>
    <xf numFmtId="170" fontId="0" fillId="0" borderId="35" xfId="0" applyNumberFormat="1" applyBorder="1" applyAlignment="1" applyProtection="1">
      <alignment horizontal="center"/>
      <protection/>
    </xf>
    <xf numFmtId="0" fontId="0" fillId="0" borderId="17" xfId="0" applyFont="1" applyBorder="1" applyAlignment="1" applyProtection="1">
      <alignment horizontal="right" wrapText="1"/>
      <protection/>
    </xf>
    <xf numFmtId="170" fontId="0" fillId="0" borderId="33" xfId="0" applyNumberFormat="1" applyFont="1" applyBorder="1" applyAlignment="1" applyProtection="1">
      <alignment horizontal="center"/>
      <protection/>
    </xf>
    <xf numFmtId="170" fontId="0" fillId="0" borderId="35" xfId="0" applyNumberFormat="1" applyFont="1" applyBorder="1" applyAlignment="1" applyProtection="1">
      <alignment horizontal="center"/>
      <protection/>
    </xf>
    <xf numFmtId="0" fontId="4" fillId="0" borderId="25" xfId="0" applyFont="1" applyBorder="1" applyAlignment="1" applyProtection="1">
      <alignment horizontal="left"/>
      <protection/>
    </xf>
    <xf numFmtId="0" fontId="4" fillId="0" borderId="26" xfId="0" applyFont="1" applyBorder="1" applyAlignment="1" applyProtection="1">
      <alignment horizontal="left"/>
      <protection/>
    </xf>
    <xf numFmtId="0" fontId="0" fillId="0" borderId="17" xfId="0" applyBorder="1" applyAlignment="1" applyProtection="1">
      <alignment horizontal="left"/>
      <protection/>
    </xf>
    <xf numFmtId="0" fontId="13" fillId="0" borderId="0" xfId="0" applyFont="1" applyBorder="1" applyAlignment="1">
      <alignment horizontal="center" wrapText="1"/>
    </xf>
    <xf numFmtId="0" fontId="13" fillId="0" borderId="38" xfId="0" applyFont="1" applyBorder="1" applyAlignment="1">
      <alignment horizontal="center" wrapText="1"/>
    </xf>
    <xf numFmtId="0" fontId="13" fillId="0" borderId="39" xfId="0" applyFont="1" applyBorder="1" applyAlignment="1">
      <alignment horizontal="center" wrapText="1"/>
    </xf>
    <xf numFmtId="0" fontId="13" fillId="0" borderId="44" xfId="0" applyFont="1" applyBorder="1" applyAlignment="1">
      <alignment horizontal="center" wrapText="1"/>
    </xf>
    <xf numFmtId="0" fontId="13" fillId="0" borderId="46" xfId="0" applyFont="1" applyBorder="1" applyAlignment="1">
      <alignment horizontal="center" wrapText="1"/>
    </xf>
    <xf numFmtId="0" fontId="13" fillId="0" borderId="44" xfId="0" applyFont="1" applyBorder="1" applyAlignment="1">
      <alignment horizontal="center"/>
    </xf>
    <xf numFmtId="0" fontId="13" fillId="0" borderId="46" xfId="0" applyFont="1" applyBorder="1" applyAlignment="1">
      <alignment horizontal="center"/>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4" fillId="0" borderId="134" xfId="0" applyFont="1" applyFill="1" applyBorder="1" applyAlignment="1" applyProtection="1">
      <alignment horizontal="left" vertical="center"/>
      <protection/>
    </xf>
    <xf numFmtId="0" fontId="4" fillId="0" borderId="123" xfId="0" applyFont="1" applyFill="1" applyBorder="1" applyAlignment="1" applyProtection="1">
      <alignment horizontal="left" vertical="center"/>
      <protection/>
    </xf>
    <xf numFmtId="0" fontId="4" fillId="0" borderId="134" xfId="0" applyFont="1" applyBorder="1" applyAlignment="1" applyProtection="1">
      <alignment horizontal="left"/>
      <protection/>
    </xf>
    <xf numFmtId="0" fontId="4" fillId="0" borderId="123" xfId="0" applyFont="1" applyBorder="1" applyAlignment="1" applyProtection="1">
      <alignment horizontal="left"/>
      <protection/>
    </xf>
    <xf numFmtId="0" fontId="4" fillId="0" borderId="56"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protection/>
    </xf>
    <xf numFmtId="0" fontId="4" fillId="0" borderId="33"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3"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0" fontId="4" fillId="0" borderId="35" xfId="0" applyFont="1" applyFill="1" applyBorder="1" applyAlignment="1" applyProtection="1">
      <alignment horizontal="center"/>
      <protection/>
    </xf>
    <xf numFmtId="0" fontId="0" fillId="0" borderId="25" xfId="0" applyFont="1" applyFill="1" applyBorder="1" applyAlignment="1" applyProtection="1">
      <alignment horizontal="center" vertical="center"/>
      <protection/>
    </xf>
    <xf numFmtId="0" fontId="32" fillId="0" borderId="91" xfId="0" applyFont="1" applyFill="1" applyBorder="1" applyAlignment="1" applyProtection="1">
      <alignment horizontal="left"/>
      <protection/>
    </xf>
    <xf numFmtId="0" fontId="32" fillId="0" borderId="37" xfId="0" applyFont="1" applyFill="1" applyBorder="1" applyAlignment="1" applyProtection="1">
      <alignment horizontal="left"/>
      <protection/>
    </xf>
    <xf numFmtId="0" fontId="7" fillId="0" borderId="11"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7" fillId="0" borderId="17" xfId="0" applyFont="1" applyFill="1" applyBorder="1" applyAlignment="1" applyProtection="1">
      <alignment horizontal="left"/>
      <protection/>
    </xf>
    <xf numFmtId="0" fontId="0" fillId="0" borderId="0" xfId="0" applyFont="1" applyBorder="1" applyAlignment="1" applyProtection="1">
      <alignment horizontal="left" wrapText="1"/>
      <protection/>
    </xf>
    <xf numFmtId="0" fontId="4" fillId="0" borderId="11"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0" fillId="0" borderId="0" xfId="0" applyFont="1" applyBorder="1" applyAlignment="1" applyProtection="1">
      <alignment horizontal="left"/>
      <protection/>
    </xf>
    <xf numFmtId="170" fontId="18" fillId="0" borderId="22" xfId="0" applyNumberFormat="1" applyFont="1" applyFill="1" applyBorder="1" applyAlignment="1" applyProtection="1">
      <alignment horizontal="center" vertical="center"/>
      <protection/>
    </xf>
    <xf numFmtId="170" fontId="18" fillId="0" borderId="31" xfId="0" applyNumberFormat="1" applyFont="1" applyFill="1" applyBorder="1" applyAlignment="1" applyProtection="1">
      <alignment horizontal="center" vertical="center"/>
      <protection/>
    </xf>
    <xf numFmtId="170" fontId="18" fillId="0" borderId="7" xfId="0" applyNumberFormat="1" applyFont="1" applyFill="1" applyBorder="1" applyAlignment="1" applyProtection="1">
      <alignment horizontal="center" vertical="center"/>
      <protection/>
    </xf>
    <xf numFmtId="170" fontId="18" fillId="0" borderId="129" xfId="0" applyNumberFormat="1" applyFont="1" applyFill="1" applyBorder="1" applyAlignment="1" applyProtection="1">
      <alignment horizontal="center" vertical="center"/>
      <protection/>
    </xf>
    <xf numFmtId="0" fontId="0" fillId="0" borderId="91" xfId="0" applyBorder="1" applyAlignment="1" applyProtection="1">
      <alignment horizontal="left" wrapText="1"/>
      <protection/>
    </xf>
    <xf numFmtId="0" fontId="0" fillId="0" borderId="37" xfId="0" applyBorder="1" applyAlignment="1" applyProtection="1">
      <alignment horizontal="left" wrapText="1"/>
      <protection/>
    </xf>
    <xf numFmtId="0" fontId="0" fillId="0" borderId="56" xfId="0" applyBorder="1" applyAlignment="1" applyProtection="1">
      <alignment horizontal="left" indent="2"/>
      <protection/>
    </xf>
    <xf numFmtId="0" fontId="0" fillId="0" borderId="28" xfId="0" applyBorder="1" applyAlignment="1" applyProtection="1">
      <alignment horizontal="left" indent="2"/>
      <protection/>
    </xf>
    <xf numFmtId="0" fontId="0" fillId="0" borderId="91" xfId="0" applyBorder="1" applyAlignment="1" applyProtection="1">
      <alignment horizontal="left"/>
      <protection/>
    </xf>
    <xf numFmtId="0" fontId="0" fillId="0" borderId="37" xfId="0" applyBorder="1" applyAlignment="1" applyProtection="1">
      <alignment horizontal="left"/>
      <protection/>
    </xf>
    <xf numFmtId="0" fontId="0" fillId="0" borderId="56" xfId="0" applyBorder="1" applyAlignment="1" applyProtection="1">
      <alignment horizontal="left" wrapText="1" indent="2"/>
      <protection/>
    </xf>
    <xf numFmtId="0" fontId="0" fillId="0" borderId="28" xfId="0" applyBorder="1" applyAlignment="1" applyProtection="1">
      <alignment horizontal="left" wrapText="1" indent="2"/>
      <protection/>
    </xf>
    <xf numFmtId="0" fontId="0" fillId="0" borderId="122" xfId="0" applyBorder="1" applyAlignment="1" applyProtection="1">
      <alignment horizontal="left"/>
      <protection/>
    </xf>
    <xf numFmtId="0" fontId="0" fillId="0" borderId="7" xfId="0" applyBorder="1" applyAlignment="1" applyProtection="1">
      <alignment horizontal="left"/>
      <protection/>
    </xf>
    <xf numFmtId="0" fontId="9" fillId="0" borderId="91" xfId="0" applyFont="1" applyBorder="1" applyAlignment="1" applyProtection="1">
      <alignment horizontal="left"/>
      <protection/>
    </xf>
    <xf numFmtId="0" fontId="9" fillId="0" borderId="37" xfId="0" applyFont="1" applyBorder="1" applyAlignment="1" applyProtection="1">
      <alignment horizontal="left"/>
      <protection/>
    </xf>
    <xf numFmtId="0" fontId="10" fillId="0" borderId="7" xfId="0" applyFont="1" applyBorder="1" applyAlignment="1" applyProtection="1">
      <alignment horizontal="center"/>
      <protection/>
    </xf>
    <xf numFmtId="0" fontId="10" fillId="0" borderId="129" xfId="0" applyFont="1" applyBorder="1" applyAlignment="1" applyProtection="1">
      <alignment horizontal="center"/>
      <protection/>
    </xf>
    <xf numFmtId="0" fontId="0" fillId="0" borderId="11" xfId="0" applyBorder="1" applyAlignment="1" applyProtection="1">
      <alignment horizontal="right" vertical="center"/>
      <protection/>
    </xf>
    <xf numFmtId="0" fontId="0" fillId="0" borderId="0" xfId="0" applyBorder="1" applyAlignment="1" applyProtection="1">
      <alignment horizontal="right" vertical="center"/>
      <protection/>
    </xf>
    <xf numFmtId="0" fontId="7" fillId="0" borderId="21"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31" xfId="0" applyFont="1" applyBorder="1" applyAlignment="1" applyProtection="1">
      <alignment horizontal="center"/>
      <protection/>
    </xf>
    <xf numFmtId="0" fontId="4" fillId="0" borderId="11" xfId="0" applyFont="1" applyBorder="1" applyAlignment="1" applyProtection="1">
      <alignment horizontal="right"/>
      <protection/>
    </xf>
    <xf numFmtId="0" fontId="4" fillId="0" borderId="0" xfId="0" applyFont="1" applyBorder="1" applyAlignment="1" applyProtection="1">
      <alignment horizontal="right"/>
      <protection/>
    </xf>
    <xf numFmtId="0" fontId="0" fillId="0" borderId="94" xfId="0" applyBorder="1" applyAlignment="1" applyProtection="1">
      <alignment horizontal="left" wrapText="1"/>
      <protection/>
    </xf>
    <xf numFmtId="0" fontId="0" fillId="0" borderId="26" xfId="0" applyBorder="1" applyAlignment="1" applyProtection="1">
      <alignment horizontal="left"/>
      <protection/>
    </xf>
    <xf numFmtId="0" fontId="4" fillId="0" borderId="33" xfId="0" applyFont="1" applyBorder="1" applyAlignment="1" applyProtection="1">
      <alignment horizontal="right" vertical="center" wrapText="1"/>
      <protection/>
    </xf>
    <xf numFmtId="0" fontId="4" fillId="0" borderId="27" xfId="0" applyFont="1" applyBorder="1" applyAlignment="1" applyProtection="1">
      <alignment horizontal="right" vertical="center" wrapText="1"/>
      <protection/>
    </xf>
    <xf numFmtId="0" fontId="10" fillId="0" borderId="11" xfId="0" applyFont="1" applyBorder="1" applyAlignment="1" applyProtection="1">
      <alignment horizontal="left"/>
      <protection/>
    </xf>
    <xf numFmtId="0" fontId="10" fillId="0" borderId="0" xfId="0" applyFont="1" applyBorder="1" applyAlignment="1" applyProtection="1">
      <alignment horizontal="left"/>
      <protection/>
    </xf>
    <xf numFmtId="0" fontId="4" fillId="0" borderId="18"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12" fillId="0" borderId="0" xfId="0" applyFont="1" applyBorder="1" applyAlignment="1" applyProtection="1">
      <alignment horizontal="left"/>
      <protection/>
    </xf>
    <xf numFmtId="0" fontId="0" fillId="0" borderId="11" xfId="0" applyBorder="1" applyAlignment="1" applyProtection="1">
      <alignment horizontal="right" wrapText="1"/>
      <protection/>
    </xf>
    <xf numFmtId="0" fontId="0" fillId="0" borderId="0" xfId="0" applyBorder="1" applyAlignment="1" applyProtection="1">
      <alignment horizontal="right" wrapText="1"/>
      <protection/>
    </xf>
    <xf numFmtId="0" fontId="0" fillId="0" borderId="11"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25" xfId="0" applyFont="1" applyBorder="1" applyAlignment="1" applyProtection="1">
      <alignment horizontal="right"/>
      <protection/>
    </xf>
    <xf numFmtId="0" fontId="27" fillId="0" borderId="11" xfId="0" applyFont="1" applyBorder="1" applyAlignment="1" applyProtection="1">
      <alignment horizontal="center"/>
      <protection/>
    </xf>
    <xf numFmtId="0" fontId="27" fillId="0" borderId="0" xfId="0" applyFont="1" applyBorder="1" applyAlignment="1" applyProtection="1">
      <alignment horizontal="center"/>
      <protection/>
    </xf>
    <xf numFmtId="0" fontId="27" fillId="0" borderId="17" xfId="0" applyFont="1" applyBorder="1" applyAlignment="1" applyProtection="1">
      <alignment horizontal="center"/>
      <protection/>
    </xf>
    <xf numFmtId="0" fontId="0" fillId="0" borderId="11" xfId="0" applyBorder="1" applyAlignment="1" applyProtection="1">
      <alignment horizontal="right"/>
      <protection/>
    </xf>
    <xf numFmtId="0" fontId="0" fillId="0" borderId="0" xfId="0" applyBorder="1" applyAlignment="1" applyProtection="1">
      <alignment horizontal="right"/>
      <protection/>
    </xf>
    <xf numFmtId="0" fontId="3" fillId="0" borderId="18" xfId="0" applyFont="1" applyBorder="1" applyAlignment="1" applyProtection="1">
      <alignment horizontal="right"/>
      <protection/>
    </xf>
    <xf numFmtId="0" fontId="3" fillId="0" borderId="19" xfId="0" applyFont="1" applyBorder="1" applyAlignment="1" applyProtection="1">
      <alignment horizontal="right"/>
      <protection/>
    </xf>
    <xf numFmtId="0" fontId="3" fillId="0" borderId="20" xfId="0" applyFont="1" applyBorder="1" applyAlignment="1" applyProtection="1">
      <alignment horizontal="right"/>
      <protection/>
    </xf>
    <xf numFmtId="0" fontId="0" fillId="0" borderId="11" xfId="0" applyFont="1" applyBorder="1" applyAlignment="1" applyProtection="1">
      <alignment horizontal="right" indent="3"/>
      <protection/>
    </xf>
    <xf numFmtId="0" fontId="0" fillId="0" borderId="0" xfId="0" applyFont="1" applyBorder="1" applyAlignment="1" applyProtection="1">
      <alignment horizontal="right" indent="3"/>
      <protection/>
    </xf>
    <xf numFmtId="0" fontId="0" fillId="0" borderId="11" xfId="0" applyFont="1" applyBorder="1" applyAlignment="1" applyProtection="1">
      <alignment horizontal="right" indent="1"/>
      <protection/>
    </xf>
    <xf numFmtId="0" fontId="0" fillId="0" borderId="17" xfId="0" applyFont="1" applyBorder="1" applyAlignment="1" applyProtection="1">
      <alignment horizontal="right" indent="1"/>
      <protection/>
    </xf>
    <xf numFmtId="170" fontId="0" fillId="0" borderId="88" xfId="0" applyNumberFormat="1" applyFont="1" applyBorder="1" applyAlignment="1" applyProtection="1">
      <alignment horizontal="right" indent="1"/>
      <protection/>
    </xf>
    <xf numFmtId="170" fontId="0" fillId="0" borderId="86" xfId="0" applyNumberFormat="1" applyFont="1" applyBorder="1" applyAlignment="1" applyProtection="1">
      <alignment horizontal="right" indent="1"/>
      <protection/>
    </xf>
    <xf numFmtId="170" fontId="0" fillId="0" borderId="105" xfId="0" applyNumberFormat="1" applyFont="1" applyBorder="1" applyAlignment="1" applyProtection="1">
      <alignment horizontal="right" indent="1"/>
      <protection/>
    </xf>
    <xf numFmtId="170" fontId="0" fillId="0" borderId="106" xfId="0" applyNumberFormat="1" applyFont="1" applyBorder="1" applyAlignment="1" applyProtection="1">
      <alignment horizontal="right" indent="1"/>
      <protection/>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0" fontId="0" fillId="33" borderId="3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13" fillId="0" borderId="0" xfId="0" applyFont="1" applyBorder="1" applyAlignment="1" applyProtection="1">
      <alignment horizontal="center" wrapText="1"/>
      <protection/>
    </xf>
    <xf numFmtId="0" fontId="13" fillId="0" borderId="19" xfId="0" applyFont="1" applyBorder="1" applyAlignment="1" applyProtection="1">
      <alignment horizontal="center" wrapText="1"/>
      <protection/>
    </xf>
    <xf numFmtId="170" fontId="0" fillId="0" borderId="89" xfId="0" applyNumberFormat="1" applyFont="1" applyBorder="1" applyAlignment="1" applyProtection="1">
      <alignment horizontal="right" indent="1"/>
      <protection/>
    </xf>
    <xf numFmtId="170" fontId="0" fillId="0" borderId="78" xfId="0" applyNumberFormat="1" applyFont="1" applyBorder="1" applyAlignment="1" applyProtection="1">
      <alignment horizontal="right" indent="1"/>
      <protection/>
    </xf>
    <xf numFmtId="0" fontId="4" fillId="0" borderId="66" xfId="0" applyFont="1" applyBorder="1" applyAlignment="1" applyProtection="1">
      <alignment horizontal="center"/>
      <protection/>
    </xf>
    <xf numFmtId="0" fontId="4" fillId="0" borderId="23" xfId="0" applyFont="1" applyBorder="1" applyAlignment="1" applyProtection="1">
      <alignment horizontal="center"/>
      <protection/>
    </xf>
    <xf numFmtId="0" fontId="4" fillId="0" borderId="136"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19" xfId="0" applyFont="1" applyBorder="1" applyAlignment="1" applyProtection="1">
      <alignment horizontal="center" wrapText="1"/>
      <protection/>
    </xf>
    <xf numFmtId="170" fontId="0" fillId="0" borderId="27" xfId="0" applyNumberFormat="1" applyBorder="1" applyAlignment="1" applyProtection="1">
      <alignment horizontal="center"/>
      <protection/>
    </xf>
    <xf numFmtId="0" fontId="4" fillId="0" borderId="105" xfId="0" applyFont="1" applyBorder="1" applyAlignment="1" applyProtection="1">
      <alignment horizontal="left"/>
      <protection/>
    </xf>
    <xf numFmtId="0" fontId="4" fillId="0" borderId="118" xfId="0" applyFont="1" applyBorder="1" applyAlignment="1" applyProtection="1">
      <alignment horizontal="left"/>
      <protection/>
    </xf>
    <xf numFmtId="170" fontId="13" fillId="0" borderId="0" xfId="0" applyNumberFormat="1" applyFont="1" applyBorder="1" applyAlignment="1" applyProtection="1">
      <alignment horizontal="center" vertical="center" wrapText="1"/>
      <protection/>
    </xf>
    <xf numFmtId="0" fontId="25" fillId="0" borderId="25" xfId="0" applyFont="1" applyBorder="1" applyAlignment="1">
      <alignment horizontal="center" wrapText="1"/>
    </xf>
    <xf numFmtId="0" fontId="25" fillId="0" borderId="19" xfId="0" applyFont="1" applyBorder="1" applyAlignment="1">
      <alignment horizontal="center" wrapText="1"/>
    </xf>
    <xf numFmtId="0" fontId="25" fillId="0" borderId="105" xfId="0" applyFont="1" applyBorder="1" applyAlignment="1">
      <alignment horizontal="center" wrapText="1"/>
    </xf>
    <xf numFmtId="0" fontId="25" fillId="0" borderId="118" xfId="0" applyFont="1" applyBorder="1" applyAlignment="1">
      <alignment horizontal="center" wrapText="1"/>
    </xf>
    <xf numFmtId="0" fontId="25" fillId="0" borderId="106" xfId="0" applyFont="1" applyBorder="1" applyAlignment="1">
      <alignment horizontal="center" wrapText="1"/>
    </xf>
    <xf numFmtId="0" fontId="25" fillId="0" borderId="141" xfId="0" applyFont="1" applyBorder="1" applyAlignment="1">
      <alignment horizontal="center" wrapText="1"/>
    </xf>
    <xf numFmtId="0" fontId="25" fillId="0" borderId="79" xfId="0" applyFont="1" applyBorder="1" applyAlignment="1">
      <alignment horizontal="center" wrapText="1"/>
    </xf>
    <xf numFmtId="0" fontId="25" fillId="0" borderId="130" xfId="0" applyFont="1" applyBorder="1" applyAlignment="1">
      <alignment horizontal="center" wrapText="1"/>
    </xf>
    <xf numFmtId="0" fontId="25" fillId="0" borderId="83" xfId="0" applyFont="1" applyBorder="1" applyAlignment="1">
      <alignment horizontal="center" wrapText="1"/>
    </xf>
    <xf numFmtId="0" fontId="25" fillId="0" borderId="26" xfId="0" applyFont="1" applyBorder="1" applyAlignment="1">
      <alignment horizontal="center" wrapText="1"/>
    </xf>
    <xf numFmtId="0" fontId="25" fillId="0" borderId="20" xfId="0" applyFont="1" applyBorder="1" applyAlignment="1">
      <alignment horizontal="center" wrapText="1"/>
    </xf>
    <xf numFmtId="0" fontId="4" fillId="0" borderId="105" xfId="0" applyFont="1" applyBorder="1" applyAlignment="1">
      <alignment horizontal="center"/>
    </xf>
    <xf numFmtId="0" fontId="4" fillId="0" borderId="118" xfId="0" applyFont="1" applyBorder="1" applyAlignment="1">
      <alignment horizontal="center"/>
    </xf>
    <xf numFmtId="0" fontId="4" fillId="0" borderId="106" xfId="0" applyFont="1" applyBorder="1" applyAlignment="1">
      <alignment horizontal="center"/>
    </xf>
    <xf numFmtId="6" fontId="10" fillId="0" borderId="33" xfId="0" applyNumberFormat="1" applyFont="1" applyBorder="1" applyAlignment="1">
      <alignment horizontal="right" wrapText="1"/>
    </xf>
    <xf numFmtId="6" fontId="10" fillId="0" borderId="27" xfId="0" applyNumberFormat="1" applyFont="1" applyBorder="1" applyAlignment="1">
      <alignment horizontal="right"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11">
    <dxf>
      <font>
        <b/>
        <i val="0"/>
        <color indexed="17"/>
      </font>
    </dxf>
    <dxf>
      <font>
        <b/>
        <i val="0"/>
        <color auto="1"/>
      </font>
    </dxf>
    <dxf>
      <font>
        <b/>
        <i val="0"/>
        <color indexed="10"/>
      </font>
    </dxf>
    <dxf>
      <font>
        <color auto="1"/>
      </font>
      <fill>
        <patternFill>
          <bgColor indexed="42"/>
        </patternFill>
      </fill>
    </dxf>
    <dxf>
      <font>
        <color indexed="9"/>
      </font>
    </dxf>
    <dxf>
      <font>
        <color indexed="9"/>
      </font>
    </dxf>
    <dxf>
      <font>
        <color indexed="9"/>
      </font>
    </dxf>
    <dxf>
      <font>
        <b/>
        <i val="0"/>
        <color indexed="10"/>
      </font>
    </dxf>
    <dxf>
      <font>
        <b/>
        <i val="0"/>
        <color indexed="10"/>
      </font>
    </dxf>
    <dxf>
      <font>
        <b/>
        <i val="0"/>
        <color indexed="17"/>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Arial"/>
                <a:ea typeface="Arial"/>
                <a:cs typeface="Arial"/>
              </a:rPr>
              <a:t>Co-client's Additional Life Insurance Needed 
Based on Different Analysis Methods</a:t>
            </a:r>
          </a:p>
        </c:rich>
      </c:tx>
      <c:layout>
        <c:manualLayout>
          <c:xMode val="factor"/>
          <c:yMode val="factor"/>
          <c:x val="-0.00825"/>
          <c:y val="-0.02075"/>
        </c:manualLayout>
      </c:layout>
      <c:spPr>
        <a:noFill/>
        <a:ln>
          <a:noFill/>
        </a:ln>
      </c:spPr>
    </c:title>
    <c:plotArea>
      <c:layout>
        <c:manualLayout>
          <c:xMode val="edge"/>
          <c:yMode val="edge"/>
          <c:x val="0.0165"/>
          <c:y val="0.14325"/>
          <c:w val="0.95275"/>
          <c:h val="0.64075"/>
        </c:manualLayout>
      </c:layout>
      <c:barChart>
        <c:barDir val="col"/>
        <c:grouping val="clustered"/>
        <c:varyColors val="0"/>
        <c:ser>
          <c:idx val="0"/>
          <c:order val="0"/>
          <c:tx>
            <c:strRef>
              <c:f>'Life Ins Estimator'!$B$118</c:f>
              <c:strCache>
                <c:ptCount val="1"/>
                <c:pt idx="0">
                  <c:v>Inflation-Adjusted Human-Life Value (HLV) Total</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Estimator'!$H$118</c:f>
              <c:numCache/>
            </c:numRef>
          </c:val>
        </c:ser>
        <c:ser>
          <c:idx val="14"/>
          <c:order val="1"/>
          <c:tx>
            <c:strRef>
              <c:f>'Life Ins Estimator'!$B$123</c:f>
              <c:strCache>
                <c:ptCount val="1"/>
                <c:pt idx="0">
                  <c:v>Infaltion-Adjusted Capital Retention (CR) Total</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Estimator'!$H$123</c:f>
              <c:numCache/>
            </c:numRef>
          </c:val>
        </c:ser>
        <c:ser>
          <c:idx val="30"/>
          <c:order val="2"/>
          <c:tx>
            <c:strRef>
              <c:f>'Life Ins Estimator'!$B$128</c:f>
              <c:strCache>
                <c:ptCount val="1"/>
                <c:pt idx="0">
                  <c:v>Inflation-Adjusted Income Retention (IR) Total</c:v>
                </c:pt>
              </c:strCache>
            </c:strRef>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Estimator'!$H$128</c:f>
              <c:numCache/>
            </c:numRef>
          </c:val>
        </c:ser>
        <c:ser>
          <c:idx val="40"/>
          <c:order val="3"/>
          <c:tx>
            <c:strRef>
              <c:f>'Life Ins Estimator'!$B$135</c:f>
              <c:strCache>
                <c:ptCount val="1"/>
                <c:pt idx="0">
                  <c:v>Income Multiplier Approach 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Estimator'!$H$135</c:f>
              <c:numCache/>
            </c:numRef>
          </c:val>
        </c:ser>
        <c:ser>
          <c:idx val="1"/>
          <c:order val="4"/>
          <c:tx>
            <c:strRef>
              <c:f>'Life Ins Estimator'!$B$8:$C$8</c:f>
              <c:strCache>
                <c:ptCount val="1"/>
                <c:pt idx="0">
                  <c:v>Needs-Based Analysis: Additional Needed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Estimator'!$H$8</c:f>
              <c:numCache/>
            </c:numRef>
          </c:val>
        </c:ser>
        <c:ser>
          <c:idx val="2"/>
          <c:order val="5"/>
          <c:tx>
            <c:strRef>
              <c:f>'Life Ins Estimator'!$B$139</c:f>
              <c:strCache>
                <c:ptCount val="1"/>
                <c:pt idx="0">
                  <c:v>Average Additional Life Insurance Needed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lstStyle/>
              <a:p>
                <a:pPr algn="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Estimator'!$H$139</c:f>
              <c:numCache/>
            </c:numRef>
          </c:val>
        </c:ser>
        <c:axId val="29059206"/>
        <c:axId val="60206263"/>
      </c:barChart>
      <c:catAx>
        <c:axId val="29059206"/>
        <c:scaling>
          <c:orientation val="minMax"/>
        </c:scaling>
        <c:axPos val="b"/>
        <c:delete val="1"/>
        <c:majorTickMark val="out"/>
        <c:minorTickMark val="none"/>
        <c:tickLblPos val="none"/>
        <c:crossAx val="60206263"/>
        <c:crosses val="autoZero"/>
        <c:auto val="1"/>
        <c:lblOffset val="100"/>
        <c:tickLblSkip val="1"/>
        <c:noMultiLvlLbl val="0"/>
      </c:catAx>
      <c:valAx>
        <c:axId val="602062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059206"/>
        <c:crossesAt val="1"/>
        <c:crossBetween val="between"/>
        <c:dispUnits/>
      </c:valAx>
      <c:spPr>
        <a:solidFill>
          <a:srgbClr val="969696"/>
        </a:solidFill>
        <a:ln w="12700">
          <a:solidFill>
            <a:srgbClr val="808080"/>
          </a:solidFill>
        </a:ln>
      </c:spPr>
    </c:plotArea>
    <c:legend>
      <c:legendPos val="r"/>
      <c:layout>
        <c:manualLayout>
          <c:xMode val="edge"/>
          <c:yMode val="edge"/>
          <c:x val="0.187"/>
          <c:y val="0.78125"/>
          <c:w val="0.813"/>
          <c:h val="0.20575"/>
        </c:manualLayout>
      </c:layout>
      <c:overlay val="0"/>
      <c:spPr>
        <a:solidFill>
          <a:srgbClr val="969696"/>
        </a:solidFill>
        <a:ln w="3175">
          <a:solidFill>
            <a:srgbClr val="000000"/>
          </a:solidFill>
        </a:ln>
      </c:spPr>
      <c:txPr>
        <a:bodyPr vert="horz" rot="0"/>
        <a:lstStyle/>
        <a:p>
          <a:pPr>
            <a:defRPr lang="en-US" cap="none" sz="825" b="0" i="0" u="none" baseline="0">
              <a:solidFill>
                <a:srgbClr val="FFFFFF"/>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Arial"/>
                <a:ea typeface="Arial"/>
                <a:cs typeface="Arial"/>
              </a:rPr>
              <a:t>Client's Additional Life Insurance Needed 
Based on Different Analysis Methods</a:t>
            </a:r>
          </a:p>
        </c:rich>
      </c:tx>
      <c:layout>
        <c:manualLayout>
          <c:xMode val="factor"/>
          <c:yMode val="factor"/>
          <c:x val="-0.0065"/>
          <c:y val="-0.02075"/>
        </c:manualLayout>
      </c:layout>
      <c:spPr>
        <a:noFill/>
        <a:ln>
          <a:noFill/>
        </a:ln>
      </c:spPr>
    </c:title>
    <c:plotArea>
      <c:layout>
        <c:manualLayout>
          <c:xMode val="edge"/>
          <c:yMode val="edge"/>
          <c:x val="0.01625"/>
          <c:y val="0.1415"/>
          <c:w val="0.95275"/>
          <c:h val="0.64375"/>
        </c:manualLayout>
      </c:layout>
      <c:barChart>
        <c:barDir val="col"/>
        <c:grouping val="clustered"/>
        <c:varyColors val="0"/>
        <c:ser>
          <c:idx val="0"/>
          <c:order val="0"/>
          <c:tx>
            <c:strRef>
              <c:f>'Life Ins Estimator'!$B$118</c:f>
              <c:strCache>
                <c:ptCount val="1"/>
                <c:pt idx="0">
                  <c:v>Inflation-Adjusted Human-Life Value (HLV) Total</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Estimator'!$E$118</c:f>
              <c:numCache/>
            </c:numRef>
          </c:val>
        </c:ser>
        <c:ser>
          <c:idx val="14"/>
          <c:order val="1"/>
          <c:tx>
            <c:strRef>
              <c:f>'Life Ins Estimator'!$B$123</c:f>
              <c:strCache>
                <c:ptCount val="1"/>
                <c:pt idx="0">
                  <c:v>Infaltion-Adjusted Capital Retention (CR) Total</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Estimator'!$E$123</c:f>
              <c:numCache/>
            </c:numRef>
          </c:val>
        </c:ser>
        <c:ser>
          <c:idx val="30"/>
          <c:order val="2"/>
          <c:tx>
            <c:strRef>
              <c:f>'Life Ins Estimator'!$B$128</c:f>
              <c:strCache>
                <c:ptCount val="1"/>
                <c:pt idx="0">
                  <c:v>Inflation-Adjusted Income Retention (IR) Total</c:v>
                </c:pt>
              </c:strCache>
            </c:strRef>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Estimator'!$E$128</c:f>
              <c:numCache/>
            </c:numRef>
          </c:val>
        </c:ser>
        <c:ser>
          <c:idx val="40"/>
          <c:order val="3"/>
          <c:tx>
            <c:strRef>
              <c:f>'Life Ins Estimator'!$B$135</c:f>
              <c:strCache>
                <c:ptCount val="1"/>
                <c:pt idx="0">
                  <c:v>Income Multiplier Approach 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Estimator'!$E$135</c:f>
              <c:numCache/>
            </c:numRef>
          </c:val>
        </c:ser>
        <c:ser>
          <c:idx val="1"/>
          <c:order val="4"/>
          <c:tx>
            <c:strRef>
              <c:f>'Life Ins Estimator'!$B$8:$C$8</c:f>
              <c:strCache>
                <c:ptCount val="1"/>
                <c:pt idx="0">
                  <c:v>Needs-Based Analysis: Additional Needed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Estimator'!$E$8</c:f>
              <c:numCache/>
            </c:numRef>
          </c:val>
        </c:ser>
        <c:ser>
          <c:idx val="2"/>
          <c:order val="5"/>
          <c:tx>
            <c:strRef>
              <c:f>'Life Ins Estimator'!$B$139</c:f>
              <c:strCache>
                <c:ptCount val="1"/>
                <c:pt idx="0">
                  <c:v>Average Additional Life Insurance Needed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lstStyle/>
              <a:p>
                <a:pPr algn="r">
                  <a:defRPr lang="en-US" cap="none" sz="8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val>
            <c:numRef>
              <c:f>'Life Ins Estimator'!$E$139</c:f>
              <c:numCache/>
            </c:numRef>
          </c:val>
        </c:ser>
        <c:axId val="4985456"/>
        <c:axId val="44869105"/>
      </c:barChart>
      <c:catAx>
        <c:axId val="4985456"/>
        <c:scaling>
          <c:orientation val="minMax"/>
        </c:scaling>
        <c:axPos val="b"/>
        <c:delete val="1"/>
        <c:majorTickMark val="out"/>
        <c:minorTickMark val="none"/>
        <c:tickLblPos val="none"/>
        <c:crossAx val="44869105"/>
        <c:crosses val="autoZero"/>
        <c:auto val="1"/>
        <c:lblOffset val="100"/>
        <c:tickLblSkip val="1"/>
        <c:noMultiLvlLbl val="0"/>
      </c:catAx>
      <c:valAx>
        <c:axId val="448691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5456"/>
        <c:crossesAt val="1"/>
        <c:crossBetween val="between"/>
        <c:dispUnits/>
      </c:valAx>
      <c:spPr>
        <a:solidFill>
          <a:srgbClr val="969696"/>
        </a:solidFill>
        <a:ln w="12700">
          <a:solidFill>
            <a:srgbClr val="808080"/>
          </a:solidFill>
        </a:ln>
      </c:spPr>
    </c:plotArea>
    <c:legend>
      <c:legendPos val="r"/>
      <c:layout>
        <c:manualLayout>
          <c:xMode val="edge"/>
          <c:yMode val="edge"/>
          <c:x val="0.1785"/>
          <c:y val="0.77525"/>
          <c:w val="0.8135"/>
          <c:h val="0.20675"/>
        </c:manualLayout>
      </c:layout>
      <c:overlay val="0"/>
      <c:spPr>
        <a:solidFill>
          <a:srgbClr val="969696"/>
        </a:solidFill>
        <a:ln w="3175">
          <a:solidFill>
            <a:srgbClr val="000000"/>
          </a:solidFill>
        </a:ln>
      </c:spPr>
      <c:txPr>
        <a:bodyPr vert="horz" rot="0"/>
        <a:lstStyle/>
        <a:p>
          <a:pPr>
            <a:defRPr lang="en-US" cap="none" sz="825" b="0" i="0" u="none" baseline="0">
              <a:solidFill>
                <a:srgbClr val="FFFFFF"/>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Retirement Allocation</a:t>
            </a:r>
          </a:p>
        </c:rich>
      </c:tx>
      <c:layout>
        <c:manualLayout>
          <c:xMode val="factor"/>
          <c:yMode val="factor"/>
          <c:x val="0.00275"/>
          <c:y val="0"/>
        </c:manualLayout>
      </c:layout>
      <c:spPr>
        <a:noFill/>
        <a:ln>
          <a:noFill/>
        </a:ln>
      </c:spPr>
    </c:title>
    <c:plotArea>
      <c:layout>
        <c:manualLayout>
          <c:xMode val="edge"/>
          <c:yMode val="edge"/>
          <c:x val="0.12075"/>
          <c:y val="0.3025"/>
          <c:w val="0.43275"/>
          <c:h val="0.562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000000"/>
                </a:solidFill>
              </a:ln>
            </c:spPr>
          </c:dPt>
          <c:dPt>
            <c:idx val="1"/>
            <c:spPr>
              <a:solidFill>
                <a:srgbClr val="FF6600"/>
              </a:solidFill>
              <a:ln w="12700">
                <a:solidFill>
                  <a:srgbClr val="000000"/>
                </a:solidFill>
              </a:ln>
            </c:spPr>
          </c:dPt>
          <c:dPt>
            <c:idx val="2"/>
            <c:spPr>
              <a:solidFill>
                <a:srgbClr val="993300"/>
              </a:solidFill>
              <a:ln w="12700">
                <a:solidFill>
                  <a:srgbClr val="000000"/>
                </a:solidFill>
              </a:ln>
            </c:spPr>
          </c:dPt>
          <c:dPt>
            <c:idx val="3"/>
            <c:spPr>
              <a:solidFill>
                <a:srgbClr val="008080"/>
              </a:solidFill>
              <a:ln w="12700">
                <a:solidFill>
                  <a:srgbClr val="000000"/>
                </a:solidFill>
              </a:ln>
            </c:spPr>
          </c:dPt>
          <c:dPt>
            <c:idx val="4"/>
            <c:spPr>
              <a:solidFill>
                <a:srgbClr val="333399"/>
              </a:solidFill>
              <a:ln w="12700">
                <a:solidFill>
                  <a:srgbClr val="000000"/>
                </a:solidFill>
              </a:ln>
            </c:spPr>
          </c:dPt>
          <c:dPt>
            <c:idx val="5"/>
            <c:spPr>
              <a:solidFill>
                <a:srgbClr val="666699"/>
              </a:solidFill>
              <a:ln w="12700">
                <a:solidFill>
                  <a:srgbClr val="000000"/>
                </a:solidFill>
              </a:ln>
            </c:spPr>
          </c:dPt>
          <c:dPt>
            <c:idx val="6"/>
            <c:spPr>
              <a:solidFill>
                <a:srgbClr val="FF00FF"/>
              </a:solidFill>
              <a:ln w="12700">
                <a:solidFill>
                  <a:srgbClr val="000000"/>
                </a:solidFill>
              </a:ln>
            </c:spPr>
          </c:dPt>
          <c:dPt>
            <c:idx val="7"/>
            <c:spPr>
              <a:solidFill>
                <a:srgbClr val="666699"/>
              </a:solidFill>
              <a:ln w="12700">
                <a:solidFill>
                  <a:srgbClr val="000000"/>
                </a:solidFill>
              </a:ln>
            </c:spPr>
          </c:dPt>
          <c:dPt>
            <c:idx val="8"/>
            <c:spPr>
              <a:solidFill>
                <a:srgbClr val="FF9900"/>
              </a:solidFill>
              <a:ln w="12700">
                <a:solidFill>
                  <a:srgbClr val="000000"/>
                </a:solidFill>
              </a:ln>
            </c:spPr>
          </c:dPt>
          <c:dPt>
            <c:idx val="9"/>
            <c:spPr>
              <a:solidFill>
                <a:srgbClr val="00800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'Retirement Need Estimator'!$F$33:$F$42</c:f>
              <c:strCache/>
            </c:strRef>
          </c:cat>
          <c:val>
            <c:numRef>
              <c:f>'Retirement Need Estimator'!$G$33:$G$42</c:f>
              <c:numCache/>
            </c:numRef>
          </c:val>
        </c:ser>
      </c:pieChart>
      <c:spPr>
        <a:noFill/>
        <a:ln>
          <a:noFill/>
        </a:ln>
      </c:spPr>
    </c:plotArea>
    <c:legend>
      <c:legendPos val="r"/>
      <c:layout>
        <c:manualLayout>
          <c:xMode val="edge"/>
          <c:yMode val="edge"/>
          <c:x val="0.77525"/>
          <c:y val="0.21175"/>
          <c:w val="0.222"/>
          <c:h val="0.70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000000"/>
                </a:solidFill>
                <a:latin typeface="Arial"/>
                <a:ea typeface="Arial"/>
                <a:cs typeface="Arial"/>
              </a:rPr>
              <a:t>Current Allocation</a:t>
            </a:r>
          </a:p>
        </c:rich>
      </c:tx>
      <c:layout>
        <c:manualLayout>
          <c:xMode val="factor"/>
          <c:yMode val="factor"/>
          <c:x val="0.00275"/>
          <c:y val="0"/>
        </c:manualLayout>
      </c:layout>
      <c:spPr>
        <a:noFill/>
        <a:ln>
          <a:noFill/>
        </a:ln>
      </c:spPr>
    </c:title>
    <c:plotArea>
      <c:layout>
        <c:manualLayout>
          <c:xMode val="edge"/>
          <c:yMode val="edge"/>
          <c:x val="0.11225"/>
          <c:y val="0.2865"/>
          <c:w val="0.42125"/>
          <c:h val="0.551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000000"/>
                </a:solidFill>
              </a:ln>
            </c:spPr>
          </c:dPt>
          <c:dPt>
            <c:idx val="1"/>
            <c:spPr>
              <a:solidFill>
                <a:srgbClr val="FF6600"/>
              </a:solidFill>
              <a:ln w="12700">
                <a:solidFill>
                  <a:srgbClr val="000000"/>
                </a:solidFill>
              </a:ln>
            </c:spPr>
          </c:dPt>
          <c:dPt>
            <c:idx val="2"/>
            <c:spPr>
              <a:solidFill>
                <a:srgbClr val="993300"/>
              </a:solidFill>
              <a:ln w="12700">
                <a:solidFill>
                  <a:srgbClr val="000000"/>
                </a:solidFill>
              </a:ln>
            </c:spPr>
          </c:dPt>
          <c:dPt>
            <c:idx val="3"/>
            <c:spPr>
              <a:solidFill>
                <a:srgbClr val="008080"/>
              </a:solidFill>
              <a:ln w="12700">
                <a:solidFill>
                  <a:srgbClr val="000000"/>
                </a:solidFill>
              </a:ln>
            </c:spPr>
          </c:dPt>
          <c:dPt>
            <c:idx val="4"/>
            <c:spPr>
              <a:solidFill>
                <a:srgbClr val="666699"/>
              </a:solidFill>
              <a:ln w="12700">
                <a:solidFill>
                  <a:srgbClr val="000000"/>
                </a:solidFill>
              </a:ln>
            </c:spPr>
          </c:dPt>
          <c:dPt>
            <c:idx val="5"/>
            <c:spPr>
              <a:solidFill>
                <a:srgbClr val="666699"/>
              </a:solidFill>
              <a:ln w="12700">
                <a:solidFill>
                  <a:srgbClr val="000000"/>
                </a:solidFill>
              </a:ln>
            </c:spPr>
          </c:dPt>
          <c:dPt>
            <c:idx val="6"/>
            <c:spPr>
              <a:solidFill>
                <a:srgbClr val="FF00FF"/>
              </a:solidFill>
              <a:ln w="12700">
                <a:solidFill>
                  <a:srgbClr val="000000"/>
                </a:solidFill>
              </a:ln>
            </c:spPr>
          </c:dPt>
          <c:dPt>
            <c:idx val="7"/>
            <c:spPr>
              <a:solidFill>
                <a:srgbClr val="99CC00"/>
              </a:solidFill>
              <a:ln w="12700">
                <a:solidFill>
                  <a:srgbClr val="000000"/>
                </a:solidFill>
              </a:ln>
            </c:spPr>
          </c:dPt>
          <c:dPt>
            <c:idx val="8"/>
            <c:spPr>
              <a:solidFill>
                <a:srgbClr val="FF9900"/>
              </a:solidFill>
              <a:ln w="12700">
                <a:solidFill>
                  <a:srgbClr val="000000"/>
                </a:solidFill>
              </a:ln>
            </c:spPr>
          </c:dPt>
          <c:dPt>
            <c:idx val="9"/>
            <c:spPr>
              <a:solidFill>
                <a:srgbClr val="00800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'Retirement Need Estimator'!$F$11:$F$20</c:f>
              <c:strCache/>
            </c:strRef>
          </c:cat>
          <c:val>
            <c:numRef>
              <c:f>'Retirement Need Estimator'!$G$11:$G$20</c:f>
              <c:numCache/>
            </c:numRef>
          </c:val>
        </c:ser>
      </c:pieChart>
      <c:spPr>
        <a:noFill/>
        <a:ln>
          <a:noFill/>
        </a:ln>
      </c:spPr>
    </c:plotArea>
    <c:legend>
      <c:legendPos val="r"/>
      <c:layout>
        <c:manualLayout>
          <c:xMode val="edge"/>
          <c:yMode val="edge"/>
          <c:x val="0.77525"/>
          <c:y val="0.1875"/>
          <c:w val="0.222"/>
          <c:h val="0.70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23</xdr:row>
      <xdr:rowOff>0</xdr:rowOff>
    </xdr:from>
    <xdr:to>
      <xdr:col>19</xdr:col>
      <xdr:colOff>238125</xdr:colOff>
      <xdr:row>45</xdr:row>
      <xdr:rowOff>152400</xdr:rowOff>
    </xdr:to>
    <xdr:graphicFrame>
      <xdr:nvGraphicFramePr>
        <xdr:cNvPr id="1" name="Chart 10"/>
        <xdr:cNvGraphicFramePr/>
      </xdr:nvGraphicFramePr>
      <xdr:xfrm>
        <a:off x="5972175" y="3943350"/>
        <a:ext cx="5895975" cy="374332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0</xdr:row>
      <xdr:rowOff>9525</xdr:rowOff>
    </xdr:from>
    <xdr:to>
      <xdr:col>19</xdr:col>
      <xdr:colOff>247650</xdr:colOff>
      <xdr:row>22</xdr:row>
      <xdr:rowOff>0</xdr:rowOff>
    </xdr:to>
    <xdr:graphicFrame>
      <xdr:nvGraphicFramePr>
        <xdr:cNvPr id="2" name="Chart 11"/>
        <xdr:cNvGraphicFramePr/>
      </xdr:nvGraphicFramePr>
      <xdr:xfrm>
        <a:off x="5972175" y="9525"/>
        <a:ext cx="5905500" cy="3771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30</xdr:row>
      <xdr:rowOff>0</xdr:rowOff>
    </xdr:from>
    <xdr:to>
      <xdr:col>7</xdr:col>
      <xdr:colOff>638175</xdr:colOff>
      <xdr:row>46</xdr:row>
      <xdr:rowOff>0</xdr:rowOff>
    </xdr:to>
    <xdr:graphicFrame>
      <xdr:nvGraphicFramePr>
        <xdr:cNvPr id="1" name="Chart 29"/>
        <xdr:cNvGraphicFramePr/>
      </xdr:nvGraphicFramePr>
      <xdr:xfrm>
        <a:off x="2495550" y="5095875"/>
        <a:ext cx="3476625" cy="26955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9</xdr:row>
      <xdr:rowOff>9525</xdr:rowOff>
    </xdr:from>
    <xdr:to>
      <xdr:col>7</xdr:col>
      <xdr:colOff>628650</xdr:colOff>
      <xdr:row>24</xdr:row>
      <xdr:rowOff>161925</xdr:rowOff>
    </xdr:to>
    <xdr:graphicFrame>
      <xdr:nvGraphicFramePr>
        <xdr:cNvPr id="2" name="Chart 28"/>
        <xdr:cNvGraphicFramePr/>
      </xdr:nvGraphicFramePr>
      <xdr:xfrm>
        <a:off x="2486025" y="1552575"/>
        <a:ext cx="3476625" cy="2676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10"/>
  </sheetPr>
  <dimension ref="A1:I38"/>
  <sheetViews>
    <sheetView tabSelected="1" zoomScalePageLayoutView="0" workbookViewId="0" topLeftCell="A1">
      <selection activeCell="A3" sqref="A3:H3"/>
    </sheetView>
  </sheetViews>
  <sheetFormatPr defaultColWidth="9.140625" defaultRowHeight="12.75"/>
  <cols>
    <col min="1" max="1" width="10.7109375" style="11" bestFit="1" customWidth="1"/>
    <col min="2" max="2" width="13.7109375" style="11" customWidth="1"/>
    <col min="3" max="3" width="10.7109375" style="11" customWidth="1"/>
    <col min="4" max="4" width="9.7109375" style="11" customWidth="1"/>
    <col min="5" max="5" width="10.7109375" style="11" bestFit="1" customWidth="1"/>
    <col min="6" max="6" width="13.7109375" style="11" customWidth="1"/>
    <col min="7" max="7" width="10.7109375" style="11" customWidth="1"/>
    <col min="8" max="8" width="9.7109375" style="11" customWidth="1"/>
    <col min="9" max="16384" width="9.140625" style="11" customWidth="1"/>
  </cols>
  <sheetData>
    <row r="1" spans="1:9" ht="13.5" customHeight="1" thickBot="1">
      <c r="A1" s="1240" t="s">
        <v>455</v>
      </c>
      <c r="B1" s="1241"/>
      <c r="C1" s="1241"/>
      <c r="D1" s="1241"/>
      <c r="E1" s="1241"/>
      <c r="F1" s="1241"/>
      <c r="G1" s="1241"/>
      <c r="H1" s="1242"/>
      <c r="I1" s="585"/>
    </row>
    <row r="2" spans="1:9" ht="13.5" thickBot="1">
      <c r="A2" s="586"/>
      <c r="B2" s="587"/>
      <c r="C2" s="587"/>
      <c r="D2" s="586" t="s">
        <v>191</v>
      </c>
      <c r="E2" s="599">
        <v>2010</v>
      </c>
      <c r="F2" s="587"/>
      <c r="G2" s="587"/>
      <c r="H2" s="588"/>
      <c r="I2" s="585"/>
    </row>
    <row r="3" spans="1:8" ht="13.5" thickTop="1">
      <c r="A3" s="1243" t="s">
        <v>175</v>
      </c>
      <c r="B3" s="1244"/>
      <c r="C3" s="1244"/>
      <c r="D3" s="1244"/>
      <c r="E3" s="1244"/>
      <c r="F3" s="1244"/>
      <c r="G3" s="1244"/>
      <c r="H3" s="1245"/>
    </row>
    <row r="4" spans="1:8" ht="12.75">
      <c r="A4" s="8" t="s">
        <v>155</v>
      </c>
      <c r="B4" s="1233" t="s">
        <v>846</v>
      </c>
      <c r="C4" s="1234"/>
      <c r="D4" s="10"/>
      <c r="E4" s="589" t="s">
        <v>598</v>
      </c>
      <c r="F4" s="1233"/>
      <c r="G4" s="1234"/>
      <c r="H4" s="27"/>
    </row>
    <row r="5" spans="1:8" ht="12.75">
      <c r="A5" s="8"/>
      <c r="B5" s="590" t="str">
        <f>B4</f>
        <v>                                                                                                                                                                                                                                                                                                                                                                                                                                                                                                                                                                                                                                                                                                                                                                                                                                                                                                                                                                                                                                                                                                                                                                                                                                                                                                                                                                                                                                                                                                                                                                                                                 </v>
      </c>
      <c r="C5" s="591"/>
      <c r="D5" s="9"/>
      <c r="E5" s="592"/>
      <c r="F5" s="590">
        <f>F4</f>
        <v>0</v>
      </c>
      <c r="G5" s="591"/>
      <c r="H5" s="27"/>
    </row>
    <row r="6" spans="1:8" ht="12.75">
      <c r="A6" s="102" t="s">
        <v>164</v>
      </c>
      <c r="B6" s="600"/>
      <c r="C6" s="58" t="s">
        <v>166</v>
      </c>
      <c r="D6" s="602"/>
      <c r="E6" s="593" t="s">
        <v>164</v>
      </c>
      <c r="F6" s="600"/>
      <c r="G6" s="58" t="s">
        <v>166</v>
      </c>
      <c r="H6" s="605"/>
    </row>
    <row r="7" spans="1:8" ht="12.75">
      <c r="A7" s="102" t="s">
        <v>165</v>
      </c>
      <c r="B7" s="601"/>
      <c r="C7" s="591"/>
      <c r="D7" s="9"/>
      <c r="E7" s="593" t="s">
        <v>165</v>
      </c>
      <c r="F7" s="604"/>
      <c r="G7" s="591"/>
      <c r="H7" s="27"/>
    </row>
    <row r="8" spans="1:8" ht="12.75">
      <c r="A8" s="8"/>
      <c r="B8" s="591"/>
      <c r="C8" s="594" t="s">
        <v>597</v>
      </c>
      <c r="D8" s="603"/>
      <c r="E8" s="592"/>
      <c r="F8" s="591"/>
      <c r="G8" s="594" t="s">
        <v>597</v>
      </c>
      <c r="H8" s="605"/>
    </row>
    <row r="9" spans="1:8" ht="12.75">
      <c r="A9" s="8"/>
      <c r="B9" s="591"/>
      <c r="C9" s="594" t="s">
        <v>596</v>
      </c>
      <c r="D9" s="603"/>
      <c r="E9" s="592"/>
      <c r="F9" s="591"/>
      <c r="G9" s="594" t="s">
        <v>596</v>
      </c>
      <c r="H9" s="605"/>
    </row>
    <row r="10" spans="1:8" ht="12.75">
      <c r="A10" s="102" t="s">
        <v>176</v>
      </c>
      <c r="B10" s="607"/>
      <c r="C10" s="591"/>
      <c r="D10" s="9"/>
      <c r="E10" s="593" t="s">
        <v>176</v>
      </c>
      <c r="F10" s="606"/>
      <c r="G10" s="591"/>
      <c r="H10" s="27"/>
    </row>
    <row r="11" spans="1:8" ht="12.75">
      <c r="A11" s="102" t="s">
        <v>177</v>
      </c>
      <c r="B11" s="606"/>
      <c r="C11" s="591"/>
      <c r="D11" s="10"/>
      <c r="E11" s="593" t="s">
        <v>177</v>
      </c>
      <c r="F11" s="606"/>
      <c r="G11" s="591"/>
      <c r="H11" s="27"/>
    </row>
    <row r="12" spans="1:8" ht="12.75">
      <c r="A12" s="102" t="s">
        <v>178</v>
      </c>
      <c r="B12" s="606"/>
      <c r="C12" s="591"/>
      <c r="D12" s="10"/>
      <c r="E12" s="593" t="s">
        <v>178</v>
      </c>
      <c r="F12" s="606"/>
      <c r="G12" s="591"/>
      <c r="H12" s="27"/>
    </row>
    <row r="13" spans="1:8" ht="13.5" thickBot="1">
      <c r="A13" s="8"/>
      <c r="B13" s="10"/>
      <c r="C13" s="10"/>
      <c r="D13" s="10"/>
      <c r="E13" s="589"/>
      <c r="F13" s="10"/>
      <c r="G13" s="10"/>
      <c r="H13" s="27"/>
    </row>
    <row r="14" spans="1:8" ht="13.5" thickTop="1">
      <c r="A14" s="1243" t="s">
        <v>168</v>
      </c>
      <c r="B14" s="1244"/>
      <c r="C14" s="1244"/>
      <c r="D14" s="1244"/>
      <c r="E14" s="1244"/>
      <c r="F14" s="1244"/>
      <c r="G14" s="1244"/>
      <c r="H14" s="1245"/>
    </row>
    <row r="15" spans="1:8" ht="12.75">
      <c r="A15" s="8" t="s">
        <v>167</v>
      </c>
      <c r="B15" s="1233"/>
      <c r="C15" s="1234"/>
      <c r="D15" s="10"/>
      <c r="E15" s="10" t="s">
        <v>157</v>
      </c>
      <c r="F15" s="608"/>
      <c r="G15" s="10"/>
      <c r="H15" s="27"/>
    </row>
    <row r="16" spans="1:8" ht="12.75">
      <c r="A16" s="8" t="s">
        <v>158</v>
      </c>
      <c r="B16" s="1231"/>
      <c r="C16" s="1232"/>
      <c r="D16" s="10"/>
      <c r="E16" s="10" t="s">
        <v>159</v>
      </c>
      <c r="F16" s="609"/>
      <c r="G16" s="10" t="s">
        <v>160</v>
      </c>
      <c r="H16" s="610"/>
    </row>
    <row r="17" spans="1:8" ht="13.5" thickBot="1">
      <c r="A17" s="8"/>
      <c r="B17" s="591"/>
      <c r="C17" s="591"/>
      <c r="D17" s="9"/>
      <c r="E17" s="9"/>
      <c r="F17" s="9"/>
      <c r="G17" s="9"/>
      <c r="H17" s="595"/>
    </row>
    <row r="18" spans="1:8" ht="13.5" thickTop="1">
      <c r="A18" s="1243" t="s">
        <v>161</v>
      </c>
      <c r="B18" s="1244"/>
      <c r="C18" s="1244"/>
      <c r="D18" s="1244"/>
      <c r="E18" s="1244"/>
      <c r="F18" s="1244"/>
      <c r="G18" s="1244"/>
      <c r="H18" s="1245"/>
    </row>
    <row r="19" spans="1:8" ht="12.75">
      <c r="A19" s="8"/>
      <c r="B19" s="10"/>
      <c r="C19" s="10"/>
      <c r="D19" s="10"/>
      <c r="E19" s="10"/>
      <c r="F19" s="70" t="s">
        <v>162</v>
      </c>
      <c r="G19" s="70" t="s">
        <v>163</v>
      </c>
      <c r="H19" s="27"/>
    </row>
    <row r="20" spans="1:8" ht="12.75">
      <c r="A20" s="8">
        <v>1</v>
      </c>
      <c r="B20" s="1229"/>
      <c r="C20" s="1230"/>
      <c r="D20" s="10"/>
      <c r="E20" s="57"/>
      <c r="F20" s="611"/>
      <c r="G20" s="609"/>
      <c r="H20" s="27"/>
    </row>
    <row r="21" spans="1:8" ht="12.75">
      <c r="A21" s="8"/>
      <c r="B21" s="596"/>
      <c r="C21" s="596"/>
      <c r="D21" s="10"/>
      <c r="E21" s="57"/>
      <c r="F21" s="597"/>
      <c r="G21" s="10"/>
      <c r="H21" s="27"/>
    </row>
    <row r="22" spans="1:8" ht="12.75">
      <c r="A22" s="8">
        <v>2</v>
      </c>
      <c r="B22" s="1229"/>
      <c r="C22" s="1230"/>
      <c r="D22" s="10"/>
      <c r="E22" s="57"/>
      <c r="F22" s="611"/>
      <c r="G22" s="609"/>
      <c r="H22" s="27"/>
    </row>
    <row r="23" spans="1:8" ht="12.75">
      <c r="A23" s="8"/>
      <c r="B23" s="596"/>
      <c r="C23" s="596"/>
      <c r="D23" s="10"/>
      <c r="E23" s="57"/>
      <c r="F23" s="597"/>
      <c r="G23" s="10"/>
      <c r="H23" s="27"/>
    </row>
    <row r="24" spans="1:8" ht="12.75">
      <c r="A24" s="8">
        <v>3</v>
      </c>
      <c r="B24" s="1229"/>
      <c r="C24" s="1230"/>
      <c r="D24" s="10"/>
      <c r="E24" s="57"/>
      <c r="F24" s="611"/>
      <c r="G24" s="609"/>
      <c r="H24" s="27"/>
    </row>
    <row r="25" spans="1:8" ht="13.5" thickBot="1">
      <c r="A25" s="8"/>
      <c r="B25" s="10"/>
      <c r="C25" s="10"/>
      <c r="D25" s="10"/>
      <c r="E25" s="10"/>
      <c r="F25" s="10"/>
      <c r="G25" s="10"/>
      <c r="H25" s="27"/>
    </row>
    <row r="26" spans="1:8" ht="13.5" thickTop="1">
      <c r="A26" s="1243" t="s">
        <v>169</v>
      </c>
      <c r="B26" s="1244"/>
      <c r="C26" s="1244"/>
      <c r="D26" s="1244"/>
      <c r="E26" s="1244"/>
      <c r="F26" s="1244"/>
      <c r="G26" s="1244"/>
      <c r="H26" s="1245"/>
    </row>
    <row r="27" spans="1:8" ht="12.75">
      <c r="A27" s="8" t="s">
        <v>173</v>
      </c>
      <c r="B27" s="1233"/>
      <c r="C27" s="1234"/>
      <c r="D27" s="10"/>
      <c r="E27" s="589" t="s">
        <v>599</v>
      </c>
      <c r="F27" s="1233"/>
      <c r="G27" s="1234"/>
      <c r="H27" s="27"/>
    </row>
    <row r="28" spans="1:8" ht="12.75">
      <c r="A28" s="8" t="s">
        <v>170</v>
      </c>
      <c r="B28" s="1231"/>
      <c r="C28" s="1232"/>
      <c r="D28" s="10"/>
      <c r="E28" s="589" t="s">
        <v>170</v>
      </c>
      <c r="F28" s="1238"/>
      <c r="G28" s="1239"/>
      <c r="H28" s="27"/>
    </row>
    <row r="29" spans="1:8" ht="12.75">
      <c r="A29" s="8"/>
      <c r="B29" s="10"/>
      <c r="C29" s="10"/>
      <c r="D29" s="10"/>
      <c r="E29" s="589"/>
      <c r="F29" s="10"/>
      <c r="G29" s="10"/>
      <c r="H29" s="27"/>
    </row>
    <row r="30" spans="1:8" ht="12.75">
      <c r="A30" s="1246" t="s">
        <v>156</v>
      </c>
      <c r="B30" s="1236"/>
      <c r="C30" s="1236"/>
      <c r="D30" s="1247"/>
      <c r="E30" s="1235" t="s">
        <v>156</v>
      </c>
      <c r="F30" s="1236"/>
      <c r="G30" s="1236"/>
      <c r="H30" s="1237"/>
    </row>
    <row r="31" spans="1:8" ht="12.75">
      <c r="A31" s="8" t="s">
        <v>167</v>
      </c>
      <c r="B31" s="1231"/>
      <c r="C31" s="1232"/>
      <c r="D31" s="10"/>
      <c r="E31" s="589" t="s">
        <v>167</v>
      </c>
      <c r="F31" s="1231"/>
      <c r="G31" s="1232"/>
      <c r="H31" s="27"/>
    </row>
    <row r="32" spans="1:8" ht="12.75">
      <c r="A32" s="8" t="s">
        <v>158</v>
      </c>
      <c r="B32" s="1231"/>
      <c r="C32" s="1232"/>
      <c r="D32" s="10"/>
      <c r="E32" s="589" t="s">
        <v>158</v>
      </c>
      <c r="F32" s="1231"/>
      <c r="G32" s="1232"/>
      <c r="H32" s="27"/>
    </row>
    <row r="33" spans="1:8" ht="12.75">
      <c r="A33" s="8" t="s">
        <v>159</v>
      </c>
      <c r="B33" s="609"/>
      <c r="C33" s="10" t="s">
        <v>160</v>
      </c>
      <c r="D33" s="612"/>
      <c r="E33" s="589" t="s">
        <v>159</v>
      </c>
      <c r="F33" s="609"/>
      <c r="G33" s="10" t="s">
        <v>160</v>
      </c>
      <c r="H33" s="610"/>
    </row>
    <row r="34" spans="1:8" ht="12.75">
      <c r="A34" s="8"/>
      <c r="B34" s="10"/>
      <c r="C34" s="10"/>
      <c r="D34" s="10"/>
      <c r="E34" s="589"/>
      <c r="F34" s="10"/>
      <c r="G34" s="10"/>
      <c r="H34" s="27"/>
    </row>
    <row r="35" spans="1:8" ht="12.75">
      <c r="A35" s="8" t="s">
        <v>171</v>
      </c>
      <c r="B35" s="609"/>
      <c r="C35" s="10"/>
      <c r="D35" s="10"/>
      <c r="E35" s="589" t="s">
        <v>171</v>
      </c>
      <c r="F35" s="609"/>
      <c r="G35" s="10"/>
      <c r="H35" s="27"/>
    </row>
    <row r="36" spans="1:8" ht="12.75">
      <c r="A36" s="8" t="s">
        <v>172</v>
      </c>
      <c r="B36" s="609"/>
      <c r="C36" s="10"/>
      <c r="D36" s="10"/>
      <c r="E36" s="589" t="s">
        <v>172</v>
      </c>
      <c r="F36" s="609"/>
      <c r="G36" s="10"/>
      <c r="H36" s="27"/>
    </row>
    <row r="37" spans="1:8" ht="12.75">
      <c r="A37" s="8" t="s">
        <v>174</v>
      </c>
      <c r="B37" s="613"/>
      <c r="C37" s="10"/>
      <c r="D37" s="10"/>
      <c r="E37" s="589" t="s">
        <v>174</v>
      </c>
      <c r="F37" s="613"/>
      <c r="G37" s="10"/>
      <c r="H37" s="27"/>
    </row>
    <row r="38" spans="1:8" ht="13.5" thickBot="1">
      <c r="A38" s="30"/>
      <c r="B38" s="31"/>
      <c r="C38" s="31"/>
      <c r="D38" s="31"/>
      <c r="E38" s="598"/>
      <c r="F38" s="31"/>
      <c r="G38" s="31"/>
      <c r="H38" s="33"/>
    </row>
  </sheetData>
  <sheetProtection/>
  <mergeCells count="22">
    <mergeCell ref="A1:H1"/>
    <mergeCell ref="A26:H26"/>
    <mergeCell ref="A14:H14"/>
    <mergeCell ref="A18:H18"/>
    <mergeCell ref="A3:H3"/>
    <mergeCell ref="A30:D30"/>
    <mergeCell ref="B4:C4"/>
    <mergeCell ref="F4:G4"/>
    <mergeCell ref="B15:C15"/>
    <mergeCell ref="B16:C16"/>
    <mergeCell ref="B27:C27"/>
    <mergeCell ref="F27:G27"/>
    <mergeCell ref="B20:C20"/>
    <mergeCell ref="B22:C22"/>
    <mergeCell ref="B24:C24"/>
    <mergeCell ref="B31:C31"/>
    <mergeCell ref="B32:C32"/>
    <mergeCell ref="F31:G31"/>
    <mergeCell ref="F32:G32"/>
    <mergeCell ref="E30:H30"/>
    <mergeCell ref="B28:C28"/>
    <mergeCell ref="F28:G28"/>
  </mergeCells>
  <printOptions horizontalCentered="1"/>
  <pageMargins left="0.75" right="0.75" top="0.75" bottom="0.75" header="0.5" footer="0.5"/>
  <pageSetup horizontalDpi="300" verticalDpi="300" orientation="portrait" r:id="rId3"/>
  <headerFooter alignWithMargins="0">
    <oddFooter>&amp;LClient Information&amp;R&amp;P</oddFooter>
  </headerFooter>
  <legacyDrawing r:id="rId2"/>
</worksheet>
</file>

<file path=xl/worksheets/sheet10.xml><?xml version="1.0" encoding="utf-8"?>
<worksheet xmlns="http://schemas.openxmlformats.org/spreadsheetml/2006/main" xmlns:r="http://schemas.openxmlformats.org/officeDocument/2006/relationships">
  <sheetPr codeName="Sheet4">
    <tabColor indexed="19"/>
  </sheetPr>
  <dimension ref="A1:O48"/>
  <sheetViews>
    <sheetView zoomScalePageLayoutView="0" workbookViewId="0" topLeftCell="A1">
      <selection activeCell="D3" sqref="D3"/>
    </sheetView>
  </sheetViews>
  <sheetFormatPr defaultColWidth="9.140625" defaultRowHeight="12.75"/>
  <cols>
    <col min="1" max="1" width="3.7109375" style="11" customWidth="1"/>
    <col min="2" max="2" width="26.140625" style="11" customWidth="1"/>
    <col min="3" max="3" width="8.7109375" style="11" customWidth="1"/>
    <col min="4" max="4" width="11.7109375" style="65" customWidth="1"/>
    <col min="5" max="7" width="11.7109375" style="11" customWidth="1"/>
    <col min="8" max="8" width="3.7109375" style="65" customWidth="1"/>
    <col min="9" max="9" width="9.140625" style="11" customWidth="1"/>
    <col min="10" max="10" width="11.140625" style="11" hidden="1" customWidth="1"/>
    <col min="11" max="13" width="0" style="11" hidden="1" customWidth="1"/>
    <col min="14" max="16384" width="9.140625" style="11" customWidth="1"/>
  </cols>
  <sheetData>
    <row r="1" spans="1:8" ht="13.5" thickBot="1">
      <c r="A1" s="1240" t="s">
        <v>672</v>
      </c>
      <c r="B1" s="1241"/>
      <c r="C1" s="1241"/>
      <c r="D1" s="1241"/>
      <c r="E1" s="1241"/>
      <c r="F1" s="1241"/>
      <c r="G1" s="1241"/>
      <c r="H1" s="1242"/>
    </row>
    <row r="2" spans="1:8" ht="13.5" thickBot="1">
      <c r="A2" s="348"/>
      <c r="B2" s="394" t="s">
        <v>517</v>
      </c>
      <c r="C2" s="1336"/>
      <c r="D2" s="1336"/>
      <c r="E2" s="1336"/>
      <c r="F2" s="1336"/>
      <c r="G2" s="1337"/>
      <c r="H2" s="388"/>
    </row>
    <row r="3" spans="1:8" ht="13.5" thickBot="1">
      <c r="A3" s="349"/>
      <c r="B3" s="1284" t="s">
        <v>465</v>
      </c>
      <c r="C3" s="1338"/>
      <c r="D3" s="557"/>
      <c r="E3" s="10"/>
      <c r="F3" s="57" t="s">
        <v>512</v>
      </c>
      <c r="G3" s="556"/>
      <c r="H3" s="389"/>
    </row>
    <row r="4" spans="1:9" ht="13.5" thickBot="1">
      <c r="A4" s="349"/>
      <c r="B4" s="10" t="s">
        <v>516</v>
      </c>
      <c r="C4" s="555"/>
      <c r="D4" s="75"/>
      <c r="E4" s="10"/>
      <c r="F4" s="10"/>
      <c r="G4" s="10"/>
      <c r="H4" s="389"/>
      <c r="I4" s="675"/>
    </row>
    <row r="5" spans="1:11" ht="13.5" thickBot="1">
      <c r="A5" s="349"/>
      <c r="B5" s="1284" t="s">
        <v>515</v>
      </c>
      <c r="C5" s="1285"/>
      <c r="D5" s="555"/>
      <c r="E5" s="676"/>
      <c r="F5" s="10"/>
      <c r="G5" s="10"/>
      <c r="H5" s="389"/>
      <c r="K5" s="11">
        <v>1</v>
      </c>
    </row>
    <row r="6" spans="1:13" ht="13.5" thickBot="1">
      <c r="A6" s="349"/>
      <c r="B6" s="10"/>
      <c r="C6" s="10"/>
      <c r="D6" s="57" t="s">
        <v>608</v>
      </c>
      <c r="E6" s="1334">
        <f>IF(D3="","",VLOOKUP(C4,'Education Data'!A4:F8,3))</f>
      </c>
      <c r="F6" s="1335"/>
      <c r="H6" s="389"/>
      <c r="J6" s="75">
        <f>E6</f>
      </c>
      <c r="K6" s="11">
        <v>2</v>
      </c>
      <c r="L6" s="11" t="s">
        <v>314</v>
      </c>
      <c r="M6" s="11" t="s">
        <v>466</v>
      </c>
    </row>
    <row r="7" spans="1:13" ht="12.75">
      <c r="A7" s="349"/>
      <c r="B7" s="454">
        <f>IF(D5="","",IF(D5&gt;0,"","Values for 1st Child should be ignored as the child is either starting or attending college already."))</f>
      </c>
      <c r="C7" s="83"/>
      <c r="D7" s="1228"/>
      <c r="E7" s="1320"/>
      <c r="F7" s="1320"/>
      <c r="G7" s="103"/>
      <c r="H7" s="389"/>
      <c r="K7" s="11">
        <v>3</v>
      </c>
      <c r="L7" s="11" t="s">
        <v>116</v>
      </c>
      <c r="M7" s="11" t="s">
        <v>513</v>
      </c>
    </row>
    <row r="8" spans="1:11" ht="12.75" customHeight="1" thickBot="1">
      <c r="A8" s="349"/>
      <c r="B8" s="395" t="s">
        <v>518</v>
      </c>
      <c r="C8" s="391"/>
      <c r="D8" s="584"/>
      <c r="E8" s="391"/>
      <c r="F8" s="391"/>
      <c r="G8" s="393"/>
      <c r="H8" s="389"/>
      <c r="K8" s="11">
        <v>4</v>
      </c>
    </row>
    <row r="9" spans="1:11" ht="12.75" customHeight="1" thickBot="1">
      <c r="A9" s="349"/>
      <c r="B9" s="407" t="s">
        <v>540</v>
      </c>
      <c r="C9" s="10"/>
      <c r="D9" s="678"/>
      <c r="E9" s="10"/>
      <c r="F9" s="57" t="s">
        <v>655</v>
      </c>
      <c r="G9" s="469">
        <f>IF(D3="","",IF(E10="","Error",IF(E10="Tax-advantaged",D9,D9*(1-'Inc Tax Estimator'!I19))))</f>
      </c>
      <c r="H9" s="389"/>
      <c r="K9" s="11">
        <v>5</v>
      </c>
    </row>
    <row r="10" spans="1:15" ht="12.75" customHeight="1">
      <c r="A10" s="349"/>
      <c r="B10" s="1325" t="s">
        <v>514</v>
      </c>
      <c r="C10" s="1326"/>
      <c r="D10" s="1327"/>
      <c r="E10" s="1329"/>
      <c r="F10" s="403"/>
      <c r="G10" s="404"/>
      <c r="H10" s="389"/>
      <c r="J10" s="65">
        <f>E10</f>
        <v>0</v>
      </c>
      <c r="O10" s="677"/>
    </row>
    <row r="11" spans="1:8" ht="12.75" customHeight="1" thickBot="1">
      <c r="A11" s="349"/>
      <c r="B11" s="1328"/>
      <c r="C11" s="1326"/>
      <c r="D11" s="1327"/>
      <c r="E11" s="1330"/>
      <c r="F11" s="403"/>
      <c r="G11" s="404"/>
      <c r="H11" s="389"/>
    </row>
    <row r="12" spans="1:8" ht="12.75" customHeight="1" thickBot="1">
      <c r="A12" s="349"/>
      <c r="B12" s="10"/>
      <c r="C12" s="10"/>
      <c r="D12" s="57" t="s">
        <v>617</v>
      </c>
      <c r="E12" s="1331">
        <f>IF(D3="","",VLOOKUP(C4,'Education Data'!A4:D8,4))</f>
      </c>
      <c r="F12" s="1332"/>
      <c r="G12" s="10"/>
      <c r="H12" s="389"/>
    </row>
    <row r="13" spans="1:8" ht="12.75" customHeight="1" thickBot="1">
      <c r="A13" s="349"/>
      <c r="B13" s="10"/>
      <c r="C13" s="10"/>
      <c r="D13" s="57"/>
      <c r="E13" s="79"/>
      <c r="F13" s="79"/>
      <c r="G13" s="10"/>
      <c r="H13" s="389"/>
    </row>
    <row r="14" spans="1:8" ht="12.75" customHeight="1" thickBot="1">
      <c r="A14" s="349"/>
      <c r="B14" s="1321" t="s">
        <v>464</v>
      </c>
      <c r="C14" s="1333"/>
      <c r="D14" s="679"/>
      <c r="E14" s="10"/>
      <c r="F14" s="57" t="s">
        <v>462</v>
      </c>
      <c r="G14" s="549"/>
      <c r="H14" s="389"/>
    </row>
    <row r="15" spans="1:8" ht="12.75" customHeight="1" thickBot="1">
      <c r="A15" s="349"/>
      <c r="B15" s="1321" t="s">
        <v>463</v>
      </c>
      <c r="C15" s="1322"/>
      <c r="D15" s="75"/>
      <c r="E15" s="1322" t="s">
        <v>637</v>
      </c>
      <c r="F15" s="1322"/>
      <c r="G15" s="470" t="e">
        <f>ABS(PMT(G9/12,D5*12,D16))</f>
        <v>#VALUE!</v>
      </c>
      <c r="H15" s="389"/>
    </row>
    <row r="16" spans="1:8" ht="12.75" customHeight="1" thickBot="1">
      <c r="A16" s="349"/>
      <c r="B16" s="1321"/>
      <c r="C16" s="1322"/>
      <c r="D16" s="449">
        <f>IF(D3="","",MAX(E12-D14,0))</f>
      </c>
      <c r="E16" s="1322"/>
      <c r="F16" s="1322"/>
      <c r="G16" s="451">
        <f>IF(D3="","",G15-G14)</f>
      </c>
      <c r="H16" s="389"/>
    </row>
    <row r="17" spans="1:8" ht="12.75" customHeight="1" thickBot="1">
      <c r="A17" s="349"/>
      <c r="B17" s="10"/>
      <c r="C17" s="391"/>
      <c r="D17" s="392"/>
      <c r="E17" s="391"/>
      <c r="F17" s="391"/>
      <c r="G17" s="391"/>
      <c r="H17" s="389"/>
    </row>
    <row r="18" spans="1:8" ht="12.75" customHeight="1" thickBot="1">
      <c r="A18" s="349"/>
      <c r="B18" s="405" t="s">
        <v>519</v>
      </c>
      <c r="C18" s="1336"/>
      <c r="D18" s="1336"/>
      <c r="E18" s="1336"/>
      <c r="F18" s="1336"/>
      <c r="G18" s="1337"/>
      <c r="H18" s="389"/>
    </row>
    <row r="19" spans="1:8" ht="12.75" customHeight="1" thickBot="1">
      <c r="A19" s="349"/>
      <c r="B19" s="1284" t="s">
        <v>465</v>
      </c>
      <c r="C19" s="1338"/>
      <c r="D19" s="557"/>
      <c r="E19" s="10"/>
      <c r="F19" s="57" t="s">
        <v>512</v>
      </c>
      <c r="G19" s="556"/>
      <c r="H19" s="389"/>
    </row>
    <row r="20" spans="1:8" ht="12.75" customHeight="1" thickBot="1">
      <c r="A20" s="349"/>
      <c r="B20" s="10" t="s">
        <v>516</v>
      </c>
      <c r="C20" s="555"/>
      <c r="D20" s="75"/>
      <c r="E20" s="10"/>
      <c r="F20" s="10"/>
      <c r="G20" s="10"/>
      <c r="H20" s="389"/>
    </row>
    <row r="21" spans="1:8" ht="12.75" customHeight="1" thickBot="1">
      <c r="A21" s="349"/>
      <c r="B21" s="1284" t="s">
        <v>515</v>
      </c>
      <c r="C21" s="1285"/>
      <c r="D21" s="555"/>
      <c r="E21" s="676"/>
      <c r="F21" s="10"/>
      <c r="G21" s="10"/>
      <c r="H21" s="389"/>
    </row>
    <row r="22" spans="1:10" ht="12.75" customHeight="1" thickBot="1">
      <c r="A22" s="349"/>
      <c r="B22" s="10"/>
      <c r="C22" s="10"/>
      <c r="D22" s="57" t="s">
        <v>608</v>
      </c>
      <c r="E22" s="1334">
        <f>IF(D19="","",VLOOKUP(C20,'Education Data'!A10:F14,3))</f>
      </c>
      <c r="F22" s="1335"/>
      <c r="G22" s="10"/>
      <c r="H22" s="389"/>
      <c r="J22" s="65">
        <f>E22</f>
      </c>
    </row>
    <row r="23" spans="1:8" ht="12.75" customHeight="1">
      <c r="A23" s="349"/>
      <c r="B23" s="454">
        <f>IF(D21="","",IF(D21&gt;0,"","Values for 2nd Child should be ignored as the child is either starting or attending college already."))</f>
      </c>
      <c r="C23" s="83"/>
      <c r="D23" s="1228"/>
      <c r="E23" s="1320"/>
      <c r="F23" s="1320"/>
      <c r="G23" s="103"/>
      <c r="H23" s="389"/>
    </row>
    <row r="24" spans="1:8" ht="12.75" customHeight="1" thickBot="1">
      <c r="A24" s="349"/>
      <c r="B24" s="395" t="s">
        <v>520</v>
      </c>
      <c r="C24" s="391"/>
      <c r="D24" s="392"/>
      <c r="E24" s="391"/>
      <c r="F24" s="391"/>
      <c r="G24" s="393"/>
      <c r="H24" s="389"/>
    </row>
    <row r="25" spans="1:8" ht="12.75" customHeight="1" thickBot="1">
      <c r="A25" s="349"/>
      <c r="B25" s="407" t="s">
        <v>540</v>
      </c>
      <c r="C25" s="10"/>
      <c r="D25" s="678"/>
      <c r="E25" s="10"/>
      <c r="F25" s="57" t="s">
        <v>655</v>
      </c>
      <c r="G25" s="469">
        <f>IF(D19="","",IF(E26="","Error",IF(E26="Tax-advantaged",D25,D25*(1-'Inc Tax Estimator'!I19))))</f>
      </c>
      <c r="H25" s="389"/>
    </row>
    <row r="26" spans="1:10" ht="12.75" customHeight="1">
      <c r="A26" s="349"/>
      <c r="B26" s="1325" t="s">
        <v>514</v>
      </c>
      <c r="C26" s="1326"/>
      <c r="D26" s="1327"/>
      <c r="E26" s="1329"/>
      <c r="F26" s="403"/>
      <c r="G26" s="404"/>
      <c r="H26" s="389"/>
      <c r="J26" s="65">
        <f>E26</f>
        <v>0</v>
      </c>
    </row>
    <row r="27" spans="1:8" ht="12.75" customHeight="1" thickBot="1">
      <c r="A27" s="349"/>
      <c r="B27" s="1328"/>
      <c r="C27" s="1326"/>
      <c r="D27" s="1327"/>
      <c r="E27" s="1330"/>
      <c r="F27" s="403"/>
      <c r="G27" s="404"/>
      <c r="H27" s="389"/>
    </row>
    <row r="28" spans="1:8" ht="12.75" customHeight="1" thickBot="1">
      <c r="A28" s="349"/>
      <c r="B28" s="10"/>
      <c r="C28" s="10"/>
      <c r="D28" s="57" t="s">
        <v>617</v>
      </c>
      <c r="E28" s="1331">
        <f>IF(D19="","",VLOOKUP(C20,'Education Data'!A10:D14,4))</f>
      </c>
      <c r="F28" s="1332"/>
      <c r="G28" s="10"/>
      <c r="H28" s="389"/>
    </row>
    <row r="29" spans="1:8" ht="12.75" customHeight="1" thickBot="1">
      <c r="A29" s="349"/>
      <c r="B29" s="10"/>
      <c r="C29" s="10"/>
      <c r="D29" s="57"/>
      <c r="E29" s="79"/>
      <c r="F29" s="79"/>
      <c r="G29" s="10"/>
      <c r="H29" s="389"/>
    </row>
    <row r="30" spans="1:8" ht="12.75" customHeight="1" thickBot="1">
      <c r="A30" s="349"/>
      <c r="B30" s="1321" t="s">
        <v>654</v>
      </c>
      <c r="C30" s="1333"/>
      <c r="D30" s="679"/>
      <c r="E30" s="10"/>
      <c r="F30" s="57" t="s">
        <v>462</v>
      </c>
      <c r="G30" s="549"/>
      <c r="H30" s="389"/>
    </row>
    <row r="31" spans="1:8" ht="12.75" customHeight="1" thickBot="1">
      <c r="A31" s="349"/>
      <c r="B31" s="1321" t="s">
        <v>463</v>
      </c>
      <c r="C31" s="1322"/>
      <c r="D31" s="75"/>
      <c r="E31" s="1322" t="s">
        <v>637</v>
      </c>
      <c r="F31" s="1322"/>
      <c r="G31" s="470" t="e">
        <f>ABS(PMT(G25/12,D21*12,D32))</f>
        <v>#VALUE!</v>
      </c>
      <c r="H31" s="389"/>
    </row>
    <row r="32" spans="1:8" ht="12.75" customHeight="1" thickBot="1">
      <c r="A32" s="349"/>
      <c r="B32" s="1321"/>
      <c r="C32" s="1322"/>
      <c r="D32" s="449">
        <f>IF(D19="","",MAX(E28-D30,0))</f>
      </c>
      <c r="E32" s="1322"/>
      <c r="F32" s="1322"/>
      <c r="G32" s="451">
        <f>IF(D19="","",G31-G30)</f>
      </c>
      <c r="H32" s="389"/>
    </row>
    <row r="33" spans="1:8" ht="12.75" customHeight="1" thickBot="1">
      <c r="A33" s="349"/>
      <c r="B33" s="402"/>
      <c r="C33" s="402"/>
      <c r="D33" s="387"/>
      <c r="E33" s="402"/>
      <c r="F33" s="73"/>
      <c r="G33" s="406"/>
      <c r="H33" s="389"/>
    </row>
    <row r="34" spans="1:8" ht="12.75" customHeight="1" thickBot="1">
      <c r="A34" s="349"/>
      <c r="B34" s="405" t="s">
        <v>521</v>
      </c>
      <c r="C34" s="1336"/>
      <c r="D34" s="1336"/>
      <c r="E34" s="1336"/>
      <c r="F34" s="1336"/>
      <c r="G34" s="1337"/>
      <c r="H34" s="389"/>
    </row>
    <row r="35" spans="1:8" ht="12.75" customHeight="1" thickBot="1">
      <c r="A35" s="349"/>
      <c r="B35" s="1284" t="s">
        <v>465</v>
      </c>
      <c r="C35" s="1338"/>
      <c r="D35" s="557"/>
      <c r="E35" s="10"/>
      <c r="F35" s="57" t="s">
        <v>512</v>
      </c>
      <c r="G35" s="556"/>
      <c r="H35" s="389"/>
    </row>
    <row r="36" spans="1:8" ht="12.75" customHeight="1" thickBot="1">
      <c r="A36" s="349"/>
      <c r="B36" s="10" t="s">
        <v>516</v>
      </c>
      <c r="C36" s="555">
        <v>1</v>
      </c>
      <c r="D36" s="75"/>
      <c r="E36" s="10"/>
      <c r="F36" s="10"/>
      <c r="G36" s="10"/>
      <c r="H36" s="389"/>
    </row>
    <row r="37" spans="1:8" ht="12.75" customHeight="1" thickBot="1">
      <c r="A37" s="349"/>
      <c r="B37" s="1284" t="s">
        <v>515</v>
      </c>
      <c r="C37" s="1285"/>
      <c r="D37" s="555"/>
      <c r="E37" s="676"/>
      <c r="F37" s="10"/>
      <c r="G37" s="10"/>
      <c r="H37" s="389"/>
    </row>
    <row r="38" spans="1:10" ht="12.75" customHeight="1" thickBot="1">
      <c r="A38" s="349"/>
      <c r="B38" s="10"/>
      <c r="C38" s="10"/>
      <c r="D38" s="57" t="s">
        <v>608</v>
      </c>
      <c r="E38" s="1334">
        <f>IF(D35="","",VLOOKUP(C36,'Education Data'!A16:F20,3))</f>
      </c>
      <c r="F38" s="1335"/>
      <c r="G38" s="10"/>
      <c r="H38" s="389"/>
      <c r="J38" s="65">
        <f>E38</f>
      </c>
    </row>
    <row r="39" spans="1:8" ht="12.75" customHeight="1">
      <c r="A39" s="349"/>
      <c r="B39" s="454">
        <f>IF(D37="","",IF(D37&gt;0,"","Values for 3rd Child should be ignored as the child is either starting or attending college already."))</f>
      </c>
      <c r="C39" s="83"/>
      <c r="D39" s="1228"/>
      <c r="E39" s="1320"/>
      <c r="F39" s="1320"/>
      <c r="G39" s="103"/>
      <c r="H39" s="389"/>
    </row>
    <row r="40" spans="1:8" ht="12.75" customHeight="1" thickBot="1">
      <c r="A40" s="349"/>
      <c r="B40" s="395" t="s">
        <v>522</v>
      </c>
      <c r="C40" s="391"/>
      <c r="D40" s="392"/>
      <c r="E40" s="391"/>
      <c r="F40" s="391"/>
      <c r="G40" s="393"/>
      <c r="H40" s="389"/>
    </row>
    <row r="41" spans="1:8" ht="12.75" customHeight="1" thickBot="1">
      <c r="A41" s="349"/>
      <c r="B41" s="407" t="s">
        <v>540</v>
      </c>
      <c r="C41" s="10"/>
      <c r="D41" s="678"/>
      <c r="E41" s="10"/>
      <c r="F41" s="57" t="s">
        <v>655</v>
      </c>
      <c r="G41" s="469">
        <f>IF(D35="","",IF(E42="","Error",IF(E42="Tax-advantaged",D41,D41*(1-'Inc Tax Estimator'!I19))))</f>
      </c>
      <c r="H41" s="389"/>
    </row>
    <row r="42" spans="1:10" ht="12.75" customHeight="1">
      <c r="A42" s="349"/>
      <c r="B42" s="1325" t="s">
        <v>514</v>
      </c>
      <c r="C42" s="1326"/>
      <c r="D42" s="1327"/>
      <c r="E42" s="1329"/>
      <c r="F42" s="403"/>
      <c r="G42" s="404"/>
      <c r="H42" s="389"/>
      <c r="J42" s="65">
        <f>E42</f>
        <v>0</v>
      </c>
    </row>
    <row r="43" spans="1:8" ht="12.75" customHeight="1" thickBot="1">
      <c r="A43" s="349"/>
      <c r="B43" s="1328"/>
      <c r="C43" s="1326"/>
      <c r="D43" s="1327"/>
      <c r="E43" s="1330"/>
      <c r="F43" s="403"/>
      <c r="G43" s="404"/>
      <c r="H43" s="389"/>
    </row>
    <row r="44" spans="1:8" ht="12.75" customHeight="1" thickBot="1">
      <c r="A44" s="349"/>
      <c r="B44" s="10"/>
      <c r="C44" s="10"/>
      <c r="D44" s="57" t="s">
        <v>617</v>
      </c>
      <c r="E44" s="1331">
        <f>IF(D35="","",VLOOKUP(C36,'Education Data'!A16:D20,4))</f>
      </c>
      <c r="F44" s="1332"/>
      <c r="G44" s="10"/>
      <c r="H44" s="389"/>
    </row>
    <row r="45" spans="1:8" ht="12.75" customHeight="1" thickBot="1">
      <c r="A45" s="349"/>
      <c r="B45" s="10"/>
      <c r="C45" s="10"/>
      <c r="D45" s="57"/>
      <c r="E45" s="79"/>
      <c r="F45" s="79"/>
      <c r="G45" s="10"/>
      <c r="H45" s="389"/>
    </row>
    <row r="46" spans="1:8" ht="12.75" customHeight="1" thickBot="1">
      <c r="A46" s="349"/>
      <c r="B46" s="1321" t="s">
        <v>653</v>
      </c>
      <c r="C46" s="1333"/>
      <c r="D46" s="679"/>
      <c r="E46" s="10"/>
      <c r="F46" s="57" t="s">
        <v>462</v>
      </c>
      <c r="G46" s="549"/>
      <c r="H46" s="389"/>
    </row>
    <row r="47" spans="1:8" ht="12.75" customHeight="1" thickBot="1">
      <c r="A47" s="349"/>
      <c r="B47" s="1321" t="s">
        <v>463</v>
      </c>
      <c r="C47" s="1322"/>
      <c r="D47" s="75"/>
      <c r="E47" s="1322" t="s">
        <v>637</v>
      </c>
      <c r="F47" s="1322"/>
      <c r="G47" s="470" t="e">
        <f>ABS(PMT(G41/12,D37*12,D48))</f>
        <v>#VALUE!</v>
      </c>
      <c r="H47" s="389"/>
    </row>
    <row r="48" spans="1:8" ht="12.75" customHeight="1" thickBot="1">
      <c r="A48" s="246"/>
      <c r="B48" s="1323"/>
      <c r="C48" s="1324"/>
      <c r="D48" s="449">
        <f>IF(D35="","",MAX(E44-D46,0))</f>
      </c>
      <c r="E48" s="1324"/>
      <c r="F48" s="1324"/>
      <c r="G48" s="451">
        <f>IF(D35="","",G47-G46)</f>
      </c>
      <c r="H48" s="390"/>
    </row>
  </sheetData>
  <sheetProtection/>
  <mergeCells count="34">
    <mergeCell ref="A1:H1"/>
    <mergeCell ref="E6:F6"/>
    <mergeCell ref="C2:G2"/>
    <mergeCell ref="B15:C16"/>
    <mergeCell ref="E12:F12"/>
    <mergeCell ref="B14:C14"/>
    <mergeCell ref="E15:F16"/>
    <mergeCell ref="B10:D11"/>
    <mergeCell ref="B21:C21"/>
    <mergeCell ref="E22:F22"/>
    <mergeCell ref="B3:C3"/>
    <mergeCell ref="B5:C5"/>
    <mergeCell ref="C18:G18"/>
    <mergeCell ref="B19:C19"/>
    <mergeCell ref="E10:E11"/>
    <mergeCell ref="B26:D27"/>
    <mergeCell ref="E26:E27"/>
    <mergeCell ref="E28:F28"/>
    <mergeCell ref="B30:C30"/>
    <mergeCell ref="E38:F38"/>
    <mergeCell ref="B31:C32"/>
    <mergeCell ref="E31:F32"/>
    <mergeCell ref="C34:G34"/>
    <mergeCell ref="B35:C35"/>
    <mergeCell ref="E39:F39"/>
    <mergeCell ref="E23:F23"/>
    <mergeCell ref="E7:F7"/>
    <mergeCell ref="B47:C48"/>
    <mergeCell ref="E47:F48"/>
    <mergeCell ref="B42:D43"/>
    <mergeCell ref="E42:E43"/>
    <mergeCell ref="E44:F44"/>
    <mergeCell ref="B46:C46"/>
    <mergeCell ref="B37:C37"/>
  </mergeCells>
  <conditionalFormatting sqref="G41 G25 G9">
    <cfRule type="cellIs" priority="1" dxfId="2" operator="equal" stopIfTrue="1">
      <formula>"error"</formula>
    </cfRule>
  </conditionalFormatting>
  <conditionalFormatting sqref="F33">
    <cfRule type="expression" priority="2" dxfId="4" stopIfTrue="1">
      <formula>$G$32&lt;0</formula>
    </cfRule>
    <cfRule type="expression" priority="3" dxfId="4" stopIfTrue="1">
      <formula>$G$32=0</formula>
    </cfRule>
    <cfRule type="expression" priority="4" dxfId="4" stopIfTrue="1">
      <formula>$G$32=""</formula>
    </cfRule>
  </conditionalFormatting>
  <dataValidations count="2">
    <dataValidation type="list" allowBlank="1" showInputMessage="1" showErrorMessage="1" sqref="E42:E43 E10:E11 E26:E27">
      <formula1>$M$5:$M$7</formula1>
    </dataValidation>
    <dataValidation type="list" allowBlank="1" showInputMessage="1" showErrorMessage="1" sqref="C36 C20 C4">
      <formula1>$K$5:$K$9</formula1>
    </dataValidation>
  </dataValidations>
  <printOptions horizontalCentered="1"/>
  <pageMargins left="0.75" right="0.75" top="0.75" bottom="0.65" header="0.5" footer="0.5"/>
  <pageSetup horizontalDpi="300" verticalDpi="300" orientation="portrait" r:id="rId3"/>
  <headerFooter alignWithMargins="0">
    <oddFooter>&amp;LEducation Cost Estimator&amp;R&amp;P</oddFooter>
  </headerFooter>
  <ignoredErrors>
    <ignoredError sqref="F5:F6" unlockedFormula="1"/>
  </ignoredErrors>
  <legacyDrawing r:id="rId2"/>
</worksheet>
</file>

<file path=xl/worksheets/sheet11.xml><?xml version="1.0" encoding="utf-8"?>
<worksheet xmlns="http://schemas.openxmlformats.org/spreadsheetml/2006/main" xmlns:r="http://schemas.openxmlformats.org/officeDocument/2006/relationships">
  <sheetPr codeName="Sheet19">
    <tabColor indexed="22"/>
  </sheetPr>
  <dimension ref="A1:F20"/>
  <sheetViews>
    <sheetView zoomScalePageLayoutView="0" workbookViewId="0" topLeftCell="A1">
      <selection activeCell="H4" sqref="H4"/>
    </sheetView>
  </sheetViews>
  <sheetFormatPr defaultColWidth="9.140625" defaultRowHeight="12.75"/>
  <cols>
    <col min="1" max="1" width="18.7109375" style="398" customWidth="1"/>
    <col min="2" max="4" width="9.7109375" style="278" customWidth="1"/>
    <col min="5" max="16384" width="9.140625" style="278" customWidth="1"/>
  </cols>
  <sheetData>
    <row r="1" spans="1:6" ht="36" customHeight="1">
      <c r="A1" s="1344" t="s">
        <v>461</v>
      </c>
      <c r="B1" s="1342" t="s">
        <v>470</v>
      </c>
      <c r="C1" s="1340" t="s">
        <v>621</v>
      </c>
      <c r="D1" s="1341"/>
      <c r="E1" s="1339" t="s">
        <v>843</v>
      </c>
      <c r="F1" s="1339"/>
    </row>
    <row r="2" spans="1:6" ht="12" customHeight="1">
      <c r="A2" s="1345"/>
      <c r="B2" s="1343"/>
      <c r="C2" s="467" t="s">
        <v>622</v>
      </c>
      <c r="D2" s="569" t="s">
        <v>623</v>
      </c>
      <c r="E2" s="498"/>
      <c r="F2" s="494" t="s">
        <v>623</v>
      </c>
    </row>
    <row r="3" spans="1:6" ht="12">
      <c r="A3" s="571" t="s">
        <v>467</v>
      </c>
      <c r="B3" s="471">
        <f>'Education Cost Estimator'!D3</f>
        <v>0</v>
      </c>
      <c r="C3" s="397"/>
      <c r="D3" s="572"/>
      <c r="E3" s="279"/>
      <c r="F3" s="397"/>
    </row>
    <row r="4" spans="1:6" ht="12">
      <c r="A4" s="573">
        <v>1</v>
      </c>
      <c r="B4" s="468">
        <f>$B$3*(1+'Education Cost Estimator'!$G$3)^('Education Cost Estimator'!$D$5)</f>
        <v>0</v>
      </c>
      <c r="C4" s="397">
        <f>B4</f>
        <v>0</v>
      </c>
      <c r="D4" s="572" t="e">
        <f>-PV('Education Cost Estimator'!$G$9/12,'Education Cost Estimator'!$D$5*12,0,'Education Data'!B4)</f>
        <v>#VALUE!</v>
      </c>
      <c r="E4" s="572" t="e">
        <f>-PV('Education Cost Estimator'!$G$9/12,('Education Data'!$A4-1)*12,0,'Education Data'!B4)</f>
        <v>#VALUE!</v>
      </c>
      <c r="F4" s="397" t="e">
        <f>SUM($E$4:$E4)</f>
        <v>#VALUE!</v>
      </c>
    </row>
    <row r="5" spans="1:6" ht="12">
      <c r="A5" s="573">
        <v>2</v>
      </c>
      <c r="B5" s="468">
        <f>$B$3*(1+'Education Cost Estimator'!$G$3)^('Education Cost Estimator'!$D$5+A4)</f>
        <v>0</v>
      </c>
      <c r="C5" s="397">
        <f>SUM($B$4:B5)</f>
        <v>0</v>
      </c>
      <c r="D5" s="572" t="e">
        <f>-PV('Education Cost Estimator'!$G$9/12,('Education Cost Estimator'!$D$5+1)*12,0,'Education Data'!B5)+'Education Data'!D4</f>
        <v>#VALUE!</v>
      </c>
      <c r="E5" s="572" t="e">
        <f>-PV('Education Cost Estimator'!$G$9/12,('Education Data'!$A5-1)*12,0,'Education Data'!B5)</f>
        <v>#VALUE!</v>
      </c>
      <c r="F5" s="397" t="e">
        <f>SUM($E$4:$E5)</f>
        <v>#VALUE!</v>
      </c>
    </row>
    <row r="6" spans="1:6" ht="12">
      <c r="A6" s="573">
        <v>3</v>
      </c>
      <c r="B6" s="468">
        <f>$B$3*(1+'Education Cost Estimator'!$G$3)^('Education Cost Estimator'!$D$5+A5)</f>
        <v>0</v>
      </c>
      <c r="C6" s="397">
        <f>SUM($B$4:B6)</f>
        <v>0</v>
      </c>
      <c r="D6" s="572" t="e">
        <f>-PV('Education Cost Estimator'!$G$9/12,('Education Cost Estimator'!$D$5+2)*12,0,'Education Data'!B6)+'Education Data'!D5</f>
        <v>#VALUE!</v>
      </c>
      <c r="E6" s="572" t="e">
        <f>-PV('Education Cost Estimator'!$G$9/12,('Education Data'!$A6-1)*12,0,'Education Data'!B6)</f>
        <v>#VALUE!</v>
      </c>
      <c r="F6" s="397" t="e">
        <f>SUM($E$4:$E6)</f>
        <v>#VALUE!</v>
      </c>
    </row>
    <row r="7" spans="1:6" ht="12">
      <c r="A7" s="573">
        <v>4</v>
      </c>
      <c r="B7" s="468">
        <f>$B$3*(1+'Education Cost Estimator'!$G$3)^('Education Cost Estimator'!$D$5+A6)</f>
        <v>0</v>
      </c>
      <c r="C7" s="397">
        <f>SUM($B$4:B7)</f>
        <v>0</v>
      </c>
      <c r="D7" s="572" t="e">
        <f>-PV('Education Cost Estimator'!$G$9/12,('Education Cost Estimator'!$D$5+3)*12,0,'Education Data'!B7)+'Education Data'!D6</f>
        <v>#VALUE!</v>
      </c>
      <c r="E7" s="572" t="e">
        <f>-PV('Education Cost Estimator'!$G$9/12,('Education Data'!$A7-1)*12,0,'Education Data'!B7)</f>
        <v>#VALUE!</v>
      </c>
      <c r="F7" s="397" t="e">
        <f>SUM($E$4:$E7)</f>
        <v>#VALUE!</v>
      </c>
    </row>
    <row r="8" spans="1:6" ht="12">
      <c r="A8" s="570">
        <v>5</v>
      </c>
      <c r="B8" s="472">
        <f>$B$3*(1+'Education Cost Estimator'!$G$3)^('Education Cost Estimator'!$D$5+A7)</f>
        <v>0</v>
      </c>
      <c r="C8" s="397">
        <f>SUM($B$4:B8)</f>
        <v>0</v>
      </c>
      <c r="D8" s="572" t="e">
        <f>-PV('Education Cost Estimator'!$G$9/12,('Education Cost Estimator'!$D$5+4)*12,0,'Education Data'!B8)+'Education Data'!D7</f>
        <v>#VALUE!</v>
      </c>
      <c r="E8" s="572" t="e">
        <f>-PV('Education Cost Estimator'!$G$9/12,('Education Data'!$A8-1)*12,0,'Education Data'!B8)</f>
        <v>#VALUE!</v>
      </c>
      <c r="F8" s="397" t="e">
        <f>SUM($E$4:$E8)</f>
        <v>#VALUE!</v>
      </c>
    </row>
    <row r="9" spans="1:6" ht="12">
      <c r="A9" s="574" t="s">
        <v>468</v>
      </c>
      <c r="B9" s="473">
        <f>'Education Cost Estimator'!D19</f>
        <v>0</v>
      </c>
      <c r="C9" s="396"/>
      <c r="D9" s="575"/>
      <c r="E9" s="495"/>
      <c r="F9" s="496"/>
    </row>
    <row r="10" spans="1:6" ht="12">
      <c r="A10" s="573">
        <v>1</v>
      </c>
      <c r="B10" s="468">
        <f>$B$9*(1+'Education Cost Estimator'!$G$19)^('Education Cost Estimator'!$D$21)</f>
        <v>0</v>
      </c>
      <c r="C10" s="397">
        <f>B10</f>
        <v>0</v>
      </c>
      <c r="D10" s="572" t="e">
        <f>-PV('Education Cost Estimator'!$G$25/12,'Education Cost Estimator'!$D$21*12,0,'Education Data'!B10)</f>
        <v>#VALUE!</v>
      </c>
      <c r="E10" s="572" t="e">
        <f>-PV('Education Cost Estimator'!$G$25/12,('Education Data'!$A10-1)*12,0,'Education Data'!B10)</f>
        <v>#VALUE!</v>
      </c>
      <c r="F10" s="397" t="e">
        <f>SUM($E$10:$E10)</f>
        <v>#VALUE!</v>
      </c>
    </row>
    <row r="11" spans="1:6" ht="12">
      <c r="A11" s="573">
        <v>2</v>
      </c>
      <c r="B11" s="468">
        <f>$B$9*(1+'Education Cost Estimator'!$G$19)^('Education Cost Estimator'!$D$21+A10)</f>
        <v>0</v>
      </c>
      <c r="C11" s="397">
        <f>SUM($B$10:B11)</f>
        <v>0</v>
      </c>
      <c r="D11" s="572" t="e">
        <f>-PV('Education Cost Estimator'!$G$25/12,('Education Cost Estimator'!$D$21+1)*12,0,'Education Data'!B11)+'Education Data'!D10</f>
        <v>#VALUE!</v>
      </c>
      <c r="E11" s="572" t="e">
        <f>-PV('Education Cost Estimator'!$G$25/12,('Education Data'!$A11-1)*12,0,'Education Data'!B11)</f>
        <v>#VALUE!</v>
      </c>
      <c r="F11" s="397" t="e">
        <f>SUM($E$10:$E11)</f>
        <v>#VALUE!</v>
      </c>
    </row>
    <row r="12" spans="1:6" ht="12">
      <c r="A12" s="573">
        <v>3</v>
      </c>
      <c r="B12" s="468">
        <f>$B$9*(1+'Education Cost Estimator'!$G$19)^('Education Cost Estimator'!$D$21+A11)</f>
        <v>0</v>
      </c>
      <c r="C12" s="397">
        <f>SUM($B$10:B12)</f>
        <v>0</v>
      </c>
      <c r="D12" s="572" t="e">
        <f>-PV('Education Cost Estimator'!$G$25/12,('Education Cost Estimator'!$D$21+2)*12,0,'Education Data'!B12)+'Education Data'!D11</f>
        <v>#VALUE!</v>
      </c>
      <c r="E12" s="572" t="e">
        <f>-PV('Education Cost Estimator'!$G$25/12,('Education Data'!$A12-1)*12,0,'Education Data'!B12)</f>
        <v>#VALUE!</v>
      </c>
      <c r="F12" s="397" t="e">
        <f>SUM($E$10:$E12)</f>
        <v>#VALUE!</v>
      </c>
    </row>
    <row r="13" spans="1:6" ht="12">
      <c r="A13" s="573">
        <v>4</v>
      </c>
      <c r="B13" s="468">
        <f>$B$9*(1+'Education Cost Estimator'!$G$19)^('Education Cost Estimator'!$D$21+A12)</f>
        <v>0</v>
      </c>
      <c r="C13" s="397">
        <f>SUM($B$10:B13)</f>
        <v>0</v>
      </c>
      <c r="D13" s="572" t="e">
        <f>-PV('Education Cost Estimator'!$G$25/12,('Education Cost Estimator'!$D$21+3)*12,0,'Education Data'!B13)+'Education Data'!D12</f>
        <v>#VALUE!</v>
      </c>
      <c r="E13" s="572" t="e">
        <f>-PV('Education Cost Estimator'!$G$25/12,('Education Data'!$A13-1)*12,0,'Education Data'!B13)</f>
        <v>#VALUE!</v>
      </c>
      <c r="F13" s="397" t="e">
        <f>SUM($E$10:$E13)</f>
        <v>#VALUE!</v>
      </c>
    </row>
    <row r="14" spans="1:6" ht="12">
      <c r="A14" s="570">
        <v>5</v>
      </c>
      <c r="B14" s="468">
        <f>$B$9*(1+'Education Cost Estimator'!$G$19)^('Education Cost Estimator'!$D$21+A13)</f>
        <v>0</v>
      </c>
      <c r="C14" s="397">
        <f>SUM($B$10:B14)</f>
        <v>0</v>
      </c>
      <c r="D14" s="572" t="e">
        <f>-PV('Education Cost Estimator'!$G$25/12,('Education Cost Estimator'!$D$21+4)*12,0,'Education Data'!B14)+'Education Data'!D13</f>
        <v>#VALUE!</v>
      </c>
      <c r="E14" s="572" t="e">
        <f>-PV('Education Cost Estimator'!$G$25/12,('Education Data'!$A14-1)*12,0,'Education Data'!B14)</f>
        <v>#VALUE!</v>
      </c>
      <c r="F14" s="397" t="e">
        <f>SUM($E$10:$E14)</f>
        <v>#VALUE!</v>
      </c>
    </row>
    <row r="15" spans="1:6" ht="12">
      <c r="A15" s="574" t="s">
        <v>469</v>
      </c>
      <c r="B15" s="473">
        <f>'Education Cost Estimator'!D35</f>
        <v>0</v>
      </c>
      <c r="C15" s="396"/>
      <c r="D15" s="575"/>
      <c r="E15" s="497"/>
      <c r="F15" s="397"/>
    </row>
    <row r="16" spans="1:6" ht="12">
      <c r="A16" s="573">
        <v>1</v>
      </c>
      <c r="B16" s="468">
        <f>$B$15*(1+'Education Cost Estimator'!$G$35)^('Education Cost Estimator'!$D$37)</f>
        <v>0</v>
      </c>
      <c r="C16" s="397">
        <f>B16</f>
        <v>0</v>
      </c>
      <c r="D16" s="572" t="e">
        <f>-PV('Education Cost Estimator'!$G$41/12,'Education Cost Estimator'!$D$37*12,0,'Education Data'!B16)</f>
        <v>#VALUE!</v>
      </c>
      <c r="E16" s="572" t="e">
        <f>-PV('Education Cost Estimator'!$G$41/12,('Education Data'!$A16-1)*12,0,'Education Data'!B16)</f>
        <v>#VALUE!</v>
      </c>
      <c r="F16" s="397" t="e">
        <f>SUM($E$16:$E16)</f>
        <v>#VALUE!</v>
      </c>
    </row>
    <row r="17" spans="1:6" ht="12">
      <c r="A17" s="573">
        <v>2</v>
      </c>
      <c r="B17" s="468">
        <f>$B$15*(1+'Education Cost Estimator'!$G$35)^('Education Cost Estimator'!$D$37+A16)</f>
        <v>0</v>
      </c>
      <c r="C17" s="397">
        <f>SUM($B$16:B17)</f>
        <v>0</v>
      </c>
      <c r="D17" s="572" t="e">
        <f>-PV('Education Cost Estimator'!$G$41/12,('Education Cost Estimator'!$D$37+1)*12,0,'Education Data'!B17)+'Education Data'!D16</f>
        <v>#VALUE!</v>
      </c>
      <c r="E17" s="572" t="e">
        <f>-PV('Education Cost Estimator'!$G$41/12,('Education Data'!$A17-1)*12,0,'Education Data'!B17)</f>
        <v>#VALUE!</v>
      </c>
      <c r="F17" s="397" t="e">
        <f>SUM($E$16:$E17)</f>
        <v>#VALUE!</v>
      </c>
    </row>
    <row r="18" spans="1:6" ht="12">
      <c r="A18" s="573">
        <v>3</v>
      </c>
      <c r="B18" s="468">
        <f>$B$15*(1+'Education Cost Estimator'!$G$35)^('Education Cost Estimator'!$D$37+A17)</f>
        <v>0</v>
      </c>
      <c r="C18" s="397">
        <f>SUM($B$16:B18)</f>
        <v>0</v>
      </c>
      <c r="D18" s="572" t="e">
        <f>-PV('Education Cost Estimator'!$G$41/12,('Education Cost Estimator'!$D$37+2)*12,0,'Education Data'!B18)+'Education Data'!D17</f>
        <v>#VALUE!</v>
      </c>
      <c r="E18" s="572" t="e">
        <f>-PV('Education Cost Estimator'!$G$41/12,('Education Data'!$A18-1)*12,0,'Education Data'!B18)</f>
        <v>#VALUE!</v>
      </c>
      <c r="F18" s="397" t="e">
        <f>SUM($E$16:$E18)</f>
        <v>#VALUE!</v>
      </c>
    </row>
    <row r="19" spans="1:6" ht="12">
      <c r="A19" s="573">
        <v>4</v>
      </c>
      <c r="B19" s="468">
        <f>$B$15*(1+'Education Cost Estimator'!$G$35)^('Education Cost Estimator'!$D$37+A18)</f>
        <v>0</v>
      </c>
      <c r="C19" s="397">
        <f>SUM($B$16:B19)</f>
        <v>0</v>
      </c>
      <c r="D19" s="572" t="e">
        <f>-PV('Education Cost Estimator'!$G$41/12,('Education Cost Estimator'!$D$37+3)*12,0,'Education Data'!B19)+'Education Data'!D18</f>
        <v>#VALUE!</v>
      </c>
      <c r="E19" s="572" t="e">
        <f>-PV('Education Cost Estimator'!$G$41/12,('Education Data'!$A19-1)*12,0,'Education Data'!B19)</f>
        <v>#VALUE!</v>
      </c>
      <c r="F19" s="397" t="e">
        <f>SUM($E$16:$E19)</f>
        <v>#VALUE!</v>
      </c>
    </row>
    <row r="20" spans="1:6" ht="12">
      <c r="A20" s="570">
        <v>5</v>
      </c>
      <c r="B20" s="472">
        <f>$B$15*(1+'Education Cost Estimator'!$G$35)^('Education Cost Estimator'!$D$37+A19)</f>
        <v>0</v>
      </c>
      <c r="C20" s="576">
        <f>SUM($B$16:B20)</f>
        <v>0</v>
      </c>
      <c r="D20" s="577" t="e">
        <f>-PV('Education Cost Estimator'!$G$41/12,('Education Cost Estimator'!$D$37+4)*12,0,'Education Data'!B20)+'Education Data'!D19</f>
        <v>#VALUE!</v>
      </c>
      <c r="E20" s="572" t="e">
        <f>-PV('Education Cost Estimator'!$G$41/12,('Education Data'!$A20-1)*12,0,'Education Data'!B20)</f>
        <v>#VALUE!</v>
      </c>
      <c r="F20" s="397" t="e">
        <f>SUM($E$16:$E20)</f>
        <v>#VALUE!</v>
      </c>
    </row>
  </sheetData>
  <sheetProtection/>
  <mergeCells count="4">
    <mergeCell ref="E1:F1"/>
    <mergeCell ref="C1:D1"/>
    <mergeCell ref="B1:B2"/>
    <mergeCell ref="A1:A2"/>
  </mergeCells>
  <printOptions horizontalCentered="1"/>
  <pageMargins left="0.75" right="0.75" top="1" bottom="1" header="0.5" footer="0.5"/>
  <pageSetup horizontalDpi="300" verticalDpi="300" orientation="landscape" r:id="rId1"/>
</worksheet>
</file>

<file path=xl/worksheets/sheet12.xml><?xml version="1.0" encoding="utf-8"?>
<worksheet xmlns="http://schemas.openxmlformats.org/spreadsheetml/2006/main" xmlns:r="http://schemas.openxmlformats.org/officeDocument/2006/relationships">
  <sheetPr codeName="Sheet13">
    <tabColor indexed="12"/>
  </sheetPr>
  <dimension ref="A1:S140"/>
  <sheetViews>
    <sheetView zoomScalePageLayoutView="0" workbookViewId="0" topLeftCell="A118">
      <selection activeCell="E3" sqref="E3"/>
    </sheetView>
  </sheetViews>
  <sheetFormatPr defaultColWidth="9.140625" defaultRowHeight="12.75"/>
  <cols>
    <col min="1" max="2" width="3.7109375" style="698" customWidth="1"/>
    <col min="3" max="3" width="40.7109375" style="698" customWidth="1"/>
    <col min="4" max="4" width="3.7109375" style="698" customWidth="1"/>
    <col min="5" max="5" width="12.7109375" style="698" customWidth="1"/>
    <col min="6" max="7" width="3.7109375" style="698" customWidth="1"/>
    <col min="8" max="8" width="12.7109375" style="698" bestFit="1" customWidth="1"/>
    <col min="9" max="10" width="3.7109375" style="698" customWidth="1"/>
    <col min="11" max="19" width="9.140625" style="698" customWidth="1"/>
    <col min="20" max="20" width="4.7109375" style="11" customWidth="1"/>
    <col min="21" max="16384" width="9.140625" style="11" customWidth="1"/>
  </cols>
  <sheetData>
    <row r="1" spans="1:19" ht="13.5" customHeight="1" thickBot="1">
      <c r="A1" s="1361" t="s">
        <v>458</v>
      </c>
      <c r="B1" s="1362"/>
      <c r="C1" s="1362"/>
      <c r="D1" s="1362"/>
      <c r="E1" s="1362"/>
      <c r="F1" s="1362"/>
      <c r="G1" s="1362"/>
      <c r="H1" s="1362"/>
      <c r="I1" s="1363"/>
      <c r="J1" s="680"/>
      <c r="K1" s="681"/>
      <c r="L1" s="681"/>
      <c r="M1" s="681"/>
      <c r="N1" s="681"/>
      <c r="O1" s="681"/>
      <c r="P1" s="681"/>
      <c r="Q1" s="681"/>
      <c r="R1" s="681"/>
      <c r="S1" s="681"/>
    </row>
    <row r="2" spans="1:19" ht="12.75" customHeight="1">
      <c r="A2" s="682"/>
      <c r="B2" s="683"/>
      <c r="C2" s="204" t="s">
        <v>438</v>
      </c>
      <c r="D2" s="683" t="s">
        <v>119</v>
      </c>
      <c r="E2" s="684">
        <f>'Client Info'!D6</f>
        <v>0</v>
      </c>
      <c r="F2" s="683"/>
      <c r="G2" s="1364" t="s">
        <v>150</v>
      </c>
      <c r="H2" s="1364"/>
      <c r="I2" s="682"/>
      <c r="J2" s="681"/>
      <c r="K2" s="681"/>
      <c r="L2" s="681"/>
      <c r="M2" s="681"/>
      <c r="N2" s="681"/>
      <c r="O2" s="681"/>
      <c r="P2" s="681"/>
      <c r="Q2" s="681"/>
      <c r="R2" s="681"/>
      <c r="S2" s="681"/>
    </row>
    <row r="3" spans="1:19" ht="12.75" customHeight="1">
      <c r="A3" s="685"/>
      <c r="B3" s="89"/>
      <c r="C3" s="204" t="s">
        <v>456</v>
      </c>
      <c r="D3" s="683" t="s">
        <v>119</v>
      </c>
      <c r="E3" s="558" t="s">
        <v>845</v>
      </c>
      <c r="F3" s="683"/>
      <c r="G3" s="683">
        <v>1</v>
      </c>
      <c r="H3" s="686">
        <f>'Client Info'!G20</f>
        <v>0</v>
      </c>
      <c r="I3" s="685"/>
      <c r="J3" s="681"/>
      <c r="K3" s="681"/>
      <c r="L3" s="681"/>
      <c r="M3" s="681"/>
      <c r="N3" s="681"/>
      <c r="O3" s="681"/>
      <c r="P3" s="681"/>
      <c r="Q3" s="681"/>
      <c r="R3" s="681"/>
      <c r="S3" s="681"/>
    </row>
    <row r="4" spans="1:19" ht="12.75" customHeight="1">
      <c r="A4" s="685"/>
      <c r="B4" s="89"/>
      <c r="C4" s="687" t="s">
        <v>439</v>
      </c>
      <c r="D4" s="683" t="s">
        <v>119</v>
      </c>
      <c r="E4" s="688">
        <f>'Client Info'!H6</f>
        <v>0</v>
      </c>
      <c r="F4" s="683"/>
      <c r="G4" s="683">
        <v>2</v>
      </c>
      <c r="H4" s="689">
        <f>'Client Info'!G22</f>
        <v>0</v>
      </c>
      <c r="I4" s="685"/>
      <c r="J4" s="681"/>
      <c r="K4" s="681"/>
      <c r="L4" s="681"/>
      <c r="M4" s="681"/>
      <c r="N4" s="681"/>
      <c r="O4" s="681"/>
      <c r="P4" s="681"/>
      <c r="Q4" s="681"/>
      <c r="R4" s="681"/>
      <c r="S4" s="681"/>
    </row>
    <row r="5" spans="1:19" ht="12.75" customHeight="1">
      <c r="A5" s="685"/>
      <c r="B5" s="683"/>
      <c r="C5" s="204" t="s">
        <v>457</v>
      </c>
      <c r="D5" s="207" t="s">
        <v>119</v>
      </c>
      <c r="E5" s="558"/>
      <c r="F5" s="683"/>
      <c r="G5" s="683">
        <v>3</v>
      </c>
      <c r="H5" s="689">
        <f>'Client Info'!G24</f>
        <v>0</v>
      </c>
      <c r="I5" s="685"/>
      <c r="J5" s="681"/>
      <c r="K5" s="681"/>
      <c r="L5" s="681"/>
      <c r="M5" s="681"/>
      <c r="N5" s="681"/>
      <c r="O5" s="681"/>
      <c r="P5" s="681"/>
      <c r="Q5" s="681"/>
      <c r="R5" s="681"/>
      <c r="S5" s="681"/>
    </row>
    <row r="6" spans="1:9" ht="12.75" customHeight="1">
      <c r="A6" s="690"/>
      <c r="B6" s="691"/>
      <c r="C6" s="692" t="s">
        <v>440</v>
      </c>
      <c r="D6" s="693" t="s">
        <v>119</v>
      </c>
      <c r="E6" s="558"/>
      <c r="F6" s="695"/>
      <c r="G6" s="695"/>
      <c r="H6" s="696"/>
      <c r="I6" s="697"/>
    </row>
    <row r="7" spans="1:9" ht="25.5">
      <c r="A7" s="690"/>
      <c r="B7" s="699"/>
      <c r="C7" s="89"/>
      <c r="D7" s="207"/>
      <c r="E7" s="700" t="s">
        <v>368</v>
      </c>
      <c r="F7" s="207"/>
      <c r="G7" s="207"/>
      <c r="H7" s="701" t="s">
        <v>369</v>
      </c>
      <c r="I7" s="697"/>
    </row>
    <row r="8" spans="1:9" ht="16.5" customHeight="1">
      <c r="A8" s="690"/>
      <c r="B8" s="1365" t="s">
        <v>818</v>
      </c>
      <c r="C8" s="1366"/>
      <c r="D8" s="702" t="s">
        <v>119</v>
      </c>
      <c r="E8" s="703" t="str">
        <f>E105</f>
        <v>Not Complete</v>
      </c>
      <c r="F8" s="704"/>
      <c r="G8" s="702" t="s">
        <v>119</v>
      </c>
      <c r="H8" s="703" t="str">
        <f>H105</f>
        <v>Not Complete</v>
      </c>
      <c r="I8" s="697"/>
    </row>
    <row r="9" spans="1:9" ht="12.75">
      <c r="A9" s="705"/>
      <c r="B9" s="706" t="s">
        <v>362</v>
      </c>
      <c r="C9" s="707"/>
      <c r="D9" s="708"/>
      <c r="E9" s="709"/>
      <c r="F9" s="710"/>
      <c r="G9" s="708"/>
      <c r="H9" s="711"/>
      <c r="I9" s="705"/>
    </row>
    <row r="10" spans="1:9" ht="12.75">
      <c r="A10" s="705"/>
      <c r="B10" s="89" t="s">
        <v>591</v>
      </c>
      <c r="C10" s="89"/>
      <c r="D10" s="205"/>
      <c r="E10" s="558"/>
      <c r="F10" s="237"/>
      <c r="G10" s="205"/>
      <c r="H10" s="559"/>
      <c r="I10" s="705"/>
    </row>
    <row r="11" spans="1:9" ht="12.75">
      <c r="A11" s="705"/>
      <c r="B11" s="237" t="s">
        <v>590</v>
      </c>
      <c r="C11" s="89"/>
      <c r="D11" s="205" t="s">
        <v>121</v>
      </c>
      <c r="E11" s="558"/>
      <c r="F11" s="712"/>
      <c r="G11" s="205" t="s">
        <v>121</v>
      </c>
      <c r="H11" s="559"/>
      <c r="I11" s="713"/>
    </row>
    <row r="12" spans="1:9" ht="12.75">
      <c r="A12" s="705"/>
      <c r="B12" s="237" t="s">
        <v>453</v>
      </c>
      <c r="C12" s="89"/>
      <c r="D12" s="205" t="s">
        <v>121</v>
      </c>
      <c r="E12" s="558"/>
      <c r="F12" s="712"/>
      <c r="G12" s="205" t="s">
        <v>121</v>
      </c>
      <c r="H12" s="559"/>
      <c r="I12" s="713"/>
    </row>
    <row r="13" spans="1:9" ht="12.75">
      <c r="A13" s="705"/>
      <c r="B13" s="237" t="s">
        <v>133</v>
      </c>
      <c r="C13" s="89"/>
      <c r="D13" s="205" t="s">
        <v>121</v>
      </c>
      <c r="E13" s="558"/>
      <c r="F13" s="714"/>
      <c r="G13" s="205" t="s">
        <v>121</v>
      </c>
      <c r="H13" s="559"/>
      <c r="I13" s="713"/>
    </row>
    <row r="14" spans="1:9" ht="12.75">
      <c r="A14" s="705"/>
      <c r="B14" s="237" t="s">
        <v>592</v>
      </c>
      <c r="C14" s="89"/>
      <c r="D14" s="205" t="s">
        <v>121</v>
      </c>
      <c r="E14" s="558"/>
      <c r="F14" s="237"/>
      <c r="G14" s="205" t="s">
        <v>121</v>
      </c>
      <c r="H14" s="559"/>
      <c r="I14" s="705"/>
    </row>
    <row r="15" spans="1:9" ht="12.75">
      <c r="A15" s="705"/>
      <c r="B15" s="707"/>
      <c r="C15" s="715" t="s">
        <v>137</v>
      </c>
      <c r="D15" s="695" t="s">
        <v>119</v>
      </c>
      <c r="E15" s="716">
        <f>SUM(E10:E14)</f>
        <v>0</v>
      </c>
      <c r="F15" s="707"/>
      <c r="G15" s="695" t="s">
        <v>119</v>
      </c>
      <c r="H15" s="717">
        <f>SUM(H10:H14)</f>
        <v>0</v>
      </c>
      <c r="I15" s="705"/>
    </row>
    <row r="16" spans="1:9" ht="12.75">
      <c r="A16" s="705"/>
      <c r="B16" s="89"/>
      <c r="C16" s="89"/>
      <c r="D16" s="205"/>
      <c r="E16" s="187"/>
      <c r="F16" s="237"/>
      <c r="G16" s="205"/>
      <c r="H16" s="187"/>
      <c r="I16" s="705"/>
    </row>
    <row r="17" spans="1:9" ht="12.75">
      <c r="A17" s="705"/>
      <c r="B17" s="706" t="s">
        <v>363</v>
      </c>
      <c r="C17" s="707"/>
      <c r="D17" s="693"/>
      <c r="E17" s="718"/>
      <c r="F17" s="719"/>
      <c r="G17" s="693"/>
      <c r="H17" s="718"/>
      <c r="I17" s="705"/>
    </row>
    <row r="18" spans="1:9" ht="12.75">
      <c r="A18" s="705"/>
      <c r="B18" s="237" t="s">
        <v>122</v>
      </c>
      <c r="C18" s="89"/>
      <c r="D18" s="205"/>
      <c r="E18" s="558"/>
      <c r="F18" s="237"/>
      <c r="G18" s="205"/>
      <c r="H18" s="559"/>
      <c r="I18" s="705"/>
    </row>
    <row r="19" spans="1:9" ht="12.75">
      <c r="A19" s="705"/>
      <c r="B19" s="237" t="s">
        <v>451</v>
      </c>
      <c r="C19" s="89"/>
      <c r="D19" s="205" t="s">
        <v>121</v>
      </c>
      <c r="E19" s="558"/>
      <c r="F19" s="237"/>
      <c r="G19" s="205" t="s">
        <v>121</v>
      </c>
      <c r="H19" s="559"/>
      <c r="I19" s="705"/>
    </row>
    <row r="20" spans="1:9" ht="12.75">
      <c r="A20" s="705"/>
      <c r="B20" s="237" t="s">
        <v>123</v>
      </c>
      <c r="C20" s="89"/>
      <c r="D20" s="205" t="s">
        <v>121</v>
      </c>
      <c r="E20" s="558"/>
      <c r="F20" s="237"/>
      <c r="G20" s="205" t="s">
        <v>121</v>
      </c>
      <c r="H20" s="559"/>
      <c r="I20" s="705"/>
    </row>
    <row r="21" spans="1:9" ht="12.75">
      <c r="A21" s="705"/>
      <c r="B21" s="237" t="s">
        <v>452</v>
      </c>
      <c r="C21" s="89"/>
      <c r="D21" s="205" t="s">
        <v>121</v>
      </c>
      <c r="E21" s="558"/>
      <c r="F21" s="237"/>
      <c r="G21" s="205" t="s">
        <v>121</v>
      </c>
      <c r="H21" s="559"/>
      <c r="I21" s="705"/>
    </row>
    <row r="22" spans="1:9" ht="12.75">
      <c r="A22" s="705"/>
      <c r="B22" s="707"/>
      <c r="C22" s="708" t="s">
        <v>138</v>
      </c>
      <c r="D22" s="695" t="s">
        <v>119</v>
      </c>
      <c r="E22" s="716">
        <f>E18+E19+E20+E21</f>
        <v>0</v>
      </c>
      <c r="F22" s="720"/>
      <c r="G22" s="695" t="s">
        <v>119</v>
      </c>
      <c r="H22" s="717">
        <f>H18+H19+H20+H21</f>
        <v>0</v>
      </c>
      <c r="I22" s="705"/>
    </row>
    <row r="23" spans="1:9" ht="12.75">
      <c r="A23" s="705"/>
      <c r="B23" s="89"/>
      <c r="C23" s="89"/>
      <c r="D23" s="205"/>
      <c r="E23" s="187"/>
      <c r="F23" s="237"/>
      <c r="G23" s="205"/>
      <c r="H23" s="187"/>
      <c r="I23" s="705"/>
    </row>
    <row r="24" spans="1:9" ht="12.75">
      <c r="A24" s="705"/>
      <c r="B24" s="706" t="s">
        <v>454</v>
      </c>
      <c r="C24" s="707"/>
      <c r="D24" s="693"/>
      <c r="E24" s="718"/>
      <c r="F24" s="719"/>
      <c r="G24" s="693"/>
      <c r="H24" s="718"/>
      <c r="I24" s="705"/>
    </row>
    <row r="25" spans="1:9" ht="12.75">
      <c r="A25" s="705"/>
      <c r="B25" s="237" t="s">
        <v>448</v>
      </c>
      <c r="C25" s="89"/>
      <c r="D25" s="205"/>
      <c r="E25" s="558"/>
      <c r="F25" s="237"/>
      <c r="G25" s="205"/>
      <c r="H25" s="559"/>
      <c r="I25" s="705"/>
    </row>
    <row r="26" spans="1:9" ht="12.75">
      <c r="A26" s="705"/>
      <c r="B26" s="237" t="s">
        <v>449</v>
      </c>
      <c r="C26" s="89"/>
      <c r="D26" s="205" t="s">
        <v>121</v>
      </c>
      <c r="E26" s="558"/>
      <c r="F26" s="237"/>
      <c r="G26" s="205" t="s">
        <v>121</v>
      </c>
      <c r="H26" s="559"/>
      <c r="I26" s="705"/>
    </row>
    <row r="27" spans="1:9" ht="12.75">
      <c r="A27" s="705"/>
      <c r="B27" s="237" t="s">
        <v>124</v>
      </c>
      <c r="C27" s="89"/>
      <c r="D27" s="205" t="s">
        <v>121</v>
      </c>
      <c r="E27" s="558"/>
      <c r="F27" s="237"/>
      <c r="G27" s="205" t="s">
        <v>121</v>
      </c>
      <c r="H27" s="559"/>
      <c r="I27" s="705"/>
    </row>
    <row r="28" spans="1:9" ht="12.75">
      <c r="A28" s="705"/>
      <c r="B28" s="89"/>
      <c r="C28" s="721" t="s">
        <v>139</v>
      </c>
      <c r="D28" s="207" t="s">
        <v>119</v>
      </c>
      <c r="E28" s="716">
        <f>E25+E26+E27</f>
        <v>0</v>
      </c>
      <c r="F28" s="722"/>
      <c r="G28" s="207" t="s">
        <v>119</v>
      </c>
      <c r="H28" s="717">
        <f>H25+H26+H27</f>
        <v>0</v>
      </c>
      <c r="I28" s="705"/>
    </row>
    <row r="29" spans="1:9" ht="13.5" thickBot="1">
      <c r="A29" s="723"/>
      <c r="B29" s="89"/>
      <c r="C29" s="721"/>
      <c r="D29" s="207"/>
      <c r="E29" s="724"/>
      <c r="F29" s="89"/>
      <c r="G29" s="207"/>
      <c r="H29" s="724"/>
      <c r="I29" s="723"/>
    </row>
    <row r="30" spans="1:9" ht="12.75">
      <c r="A30" s="725"/>
      <c r="B30" s="726" t="s">
        <v>447</v>
      </c>
      <c r="C30" s="727"/>
      <c r="D30" s="728"/>
      <c r="E30" s="729"/>
      <c r="F30" s="730"/>
      <c r="G30" s="728"/>
      <c r="H30" s="729"/>
      <c r="I30" s="731"/>
    </row>
    <row r="31" spans="1:12" ht="12.75">
      <c r="A31" s="732"/>
      <c r="B31" s="733" t="s">
        <v>441</v>
      </c>
      <c r="E31" s="558" t="s">
        <v>442</v>
      </c>
      <c r="F31" s="89"/>
      <c r="H31" s="558" t="s">
        <v>442</v>
      </c>
      <c r="I31" s="734"/>
      <c r="L31" s="735"/>
    </row>
    <row r="32" spans="1:12" ht="12.75" customHeight="1">
      <c r="A32" s="732"/>
      <c r="C32" s="736"/>
      <c r="D32" s="207"/>
      <c r="E32" s="737"/>
      <c r="F32" s="89"/>
      <c r="G32" s="207"/>
      <c r="H32" s="737"/>
      <c r="I32" s="734"/>
      <c r="L32" s="735" t="s">
        <v>442</v>
      </c>
    </row>
    <row r="33" spans="1:12" ht="12.75">
      <c r="A33" s="732"/>
      <c r="B33" s="1373" t="s">
        <v>770</v>
      </c>
      <c r="C33" s="1373"/>
      <c r="D33" s="207" t="str">
        <f>"=&gt;"</f>
        <v>=&gt;</v>
      </c>
      <c r="E33" s="558"/>
      <c r="F33" s="89"/>
      <c r="G33" s="207"/>
      <c r="H33" s="558"/>
      <c r="I33" s="734"/>
      <c r="L33" s="735" t="s">
        <v>409</v>
      </c>
    </row>
    <row r="34" spans="1:12" ht="13.5" thickBot="1">
      <c r="A34" s="738"/>
      <c r="B34" s="739" t="s">
        <v>446</v>
      </c>
      <c r="C34" s="740"/>
      <c r="D34" s="741"/>
      <c r="E34" s="742">
        <f>IF(E31="User-defined",E33,$E$6)</f>
        <v>0</v>
      </c>
      <c r="F34" s="743"/>
      <c r="G34" s="741"/>
      <c r="H34" s="742">
        <f>IF(H31="User-defined",H33,$E$6)</f>
        <v>0</v>
      </c>
      <c r="I34" s="744"/>
      <c r="L34" s="735"/>
    </row>
    <row r="35" spans="1:9" ht="12.75">
      <c r="A35" s="725"/>
      <c r="B35" s="244" t="s">
        <v>359</v>
      </c>
      <c r="C35" s="745"/>
      <c r="D35" s="746"/>
      <c r="E35" s="747"/>
      <c r="F35" s="748"/>
      <c r="G35" s="746"/>
      <c r="H35" s="747"/>
      <c r="I35" s="731"/>
    </row>
    <row r="36" spans="1:9" ht="12.75">
      <c r="A36" s="732"/>
      <c r="B36" s="749"/>
      <c r="C36" s="749" t="s">
        <v>417</v>
      </c>
      <c r="D36" s="750"/>
      <c r="E36" s="560"/>
      <c r="F36" s="751"/>
      <c r="G36" s="750"/>
      <c r="H36" s="560"/>
      <c r="I36" s="734"/>
    </row>
    <row r="37" spans="1:9" ht="12.75">
      <c r="A37" s="732"/>
      <c r="B37" s="89"/>
      <c r="C37" s="89" t="s">
        <v>450</v>
      </c>
      <c r="D37" s="205"/>
      <c r="E37" s="560"/>
      <c r="F37" s="237"/>
      <c r="G37" s="205"/>
      <c r="H37" s="560"/>
      <c r="I37" s="734"/>
    </row>
    <row r="38" spans="1:9" ht="12.75">
      <c r="A38" s="732"/>
      <c r="B38" s="237"/>
      <c r="C38" s="89" t="s">
        <v>126</v>
      </c>
      <c r="D38" s="205"/>
      <c r="E38" s="560"/>
      <c r="F38" s="237"/>
      <c r="G38" s="205"/>
      <c r="H38" s="560"/>
      <c r="I38" s="734"/>
    </row>
    <row r="39" spans="1:17" ht="13.5" thickBot="1">
      <c r="A39" s="738"/>
      <c r="B39" s="740" t="s">
        <v>129</v>
      </c>
      <c r="C39" s="739"/>
      <c r="D39" s="741"/>
      <c r="E39" s="752">
        <f>((1+(E36*(1-E37)))/(1+E38))-1</f>
        <v>0</v>
      </c>
      <c r="F39" s="740"/>
      <c r="G39" s="741"/>
      <c r="H39" s="752">
        <f>((1+(H36*(1-H37)))/(1+H38))-1</f>
        <v>0</v>
      </c>
      <c r="I39" s="744"/>
      <c r="O39" s="89"/>
      <c r="P39" s="89"/>
      <c r="Q39" s="89"/>
    </row>
    <row r="40" spans="1:17" ht="12.75">
      <c r="A40" s="705"/>
      <c r="B40" s="1367">
        <f>IF(H3="","There are no dependent children in the household, continue to next section.","")</f>
      </c>
      <c r="C40" s="1368"/>
      <c r="D40" s="1368"/>
      <c r="E40" s="1368"/>
      <c r="F40" s="1368"/>
      <c r="G40" s="1368"/>
      <c r="H40" s="1369"/>
      <c r="I40" s="705"/>
      <c r="O40" s="89"/>
      <c r="P40" s="89"/>
      <c r="Q40" s="89"/>
    </row>
    <row r="41" spans="1:17" ht="12.75">
      <c r="A41" s="705"/>
      <c r="B41" s="706" t="s">
        <v>444</v>
      </c>
      <c r="C41" s="707"/>
      <c r="D41" s="754" t="s">
        <v>445</v>
      </c>
      <c r="E41" s="718"/>
      <c r="F41" s="719"/>
      <c r="G41" s="693"/>
      <c r="H41" s="718"/>
      <c r="I41" s="705"/>
      <c r="O41" s="89"/>
      <c r="P41" s="89"/>
      <c r="Q41" s="89"/>
    </row>
    <row r="42" spans="1:19" ht="12.75">
      <c r="A42" s="705"/>
      <c r="B42" s="237" t="s">
        <v>136</v>
      </c>
      <c r="C42" s="89"/>
      <c r="D42" s="205"/>
      <c r="E42" s="562"/>
      <c r="F42" s="237"/>
      <c r="G42" s="205"/>
      <c r="H42" s="561"/>
      <c r="I42" s="705"/>
      <c r="K42" s="89"/>
      <c r="L42" s="89"/>
      <c r="M42" s="204"/>
      <c r="N42" s="205"/>
      <c r="O42" s="205"/>
      <c r="P42" s="187"/>
      <c r="Q42" s="237"/>
      <c r="R42" s="237"/>
      <c r="S42" s="237"/>
    </row>
    <row r="43" spans="1:19" ht="12.75">
      <c r="A43" s="705"/>
      <c r="B43" s="237" t="s">
        <v>141</v>
      </c>
      <c r="E43" s="755"/>
      <c r="H43" s="755"/>
      <c r="I43" s="705"/>
      <c r="K43" s="89"/>
      <c r="L43" s="89"/>
      <c r="M43" s="204"/>
      <c r="N43" s="205"/>
      <c r="O43" s="205"/>
      <c r="P43" s="189"/>
      <c r="Q43" s="237"/>
      <c r="R43" s="237"/>
      <c r="S43" s="237"/>
    </row>
    <row r="44" spans="1:19" ht="12.75">
      <c r="A44" s="705"/>
      <c r="C44" s="698" t="s">
        <v>135</v>
      </c>
      <c r="D44" s="756" t="s">
        <v>134</v>
      </c>
      <c r="E44" s="757">
        <f>IF(E42="","",IF(E42=1,0.7,IF(E42=2,0.74,IF(E42=3,0.78,0.8))))</f>
      </c>
      <c r="G44" s="756" t="s">
        <v>134</v>
      </c>
      <c r="H44" s="758">
        <f>IF(H42="","",IF(H42=1,0.7,IF(H42=2,0.74,IF(H42=3,0.78,0.8))))</f>
      </c>
      <c r="I44" s="705"/>
      <c r="K44" s="89"/>
      <c r="L44" s="89"/>
      <c r="M44" s="204"/>
      <c r="N44" s="205"/>
      <c r="O44" s="205"/>
      <c r="P44" s="189"/>
      <c r="Q44" s="237"/>
      <c r="R44" s="237"/>
      <c r="S44" s="237"/>
    </row>
    <row r="45" spans="1:9" ht="12.75">
      <c r="A45" s="705"/>
      <c r="B45" s="698" t="s">
        <v>140</v>
      </c>
      <c r="D45" s="756" t="s">
        <v>119</v>
      </c>
      <c r="E45" s="759">
        <f>IF(E44="","",E34*E44)</f>
      </c>
      <c r="G45" s="756" t="s">
        <v>119</v>
      </c>
      <c r="H45" s="760">
        <f>IF(H44="","",H34*H44)</f>
      </c>
      <c r="I45" s="705"/>
    </row>
    <row r="46" spans="1:9" ht="12.75">
      <c r="A46" s="705"/>
      <c r="B46" s="237" t="s">
        <v>683</v>
      </c>
      <c r="C46" s="237"/>
      <c r="D46" s="207" t="s">
        <v>120</v>
      </c>
      <c r="E46" s="558"/>
      <c r="F46" s="237"/>
      <c r="G46" s="207" t="s">
        <v>120</v>
      </c>
      <c r="H46" s="559"/>
      <c r="I46" s="705"/>
    </row>
    <row r="47" spans="1:9" ht="12.75">
      <c r="A47" s="705"/>
      <c r="B47" s="237" t="s">
        <v>681</v>
      </c>
      <c r="C47" s="237"/>
      <c r="D47" s="207"/>
      <c r="E47" s="558"/>
      <c r="F47" s="237"/>
      <c r="G47" s="207"/>
      <c r="H47" s="559"/>
      <c r="I47" s="705"/>
    </row>
    <row r="48" spans="1:9" ht="12.75">
      <c r="A48" s="705"/>
      <c r="B48" s="237" t="s">
        <v>144</v>
      </c>
      <c r="C48" s="237"/>
      <c r="D48" s="207" t="s">
        <v>120</v>
      </c>
      <c r="E48" s="558"/>
      <c r="F48" s="237"/>
      <c r="G48" s="207" t="s">
        <v>120</v>
      </c>
      <c r="H48" s="559"/>
      <c r="I48" s="705"/>
    </row>
    <row r="49" spans="1:9" ht="12.75">
      <c r="A49" s="705"/>
      <c r="B49" s="237" t="s">
        <v>370</v>
      </c>
      <c r="C49" s="237"/>
      <c r="D49" s="207"/>
      <c r="E49" s="187"/>
      <c r="F49" s="237"/>
      <c r="G49" s="207"/>
      <c r="H49" s="187"/>
      <c r="I49" s="705"/>
    </row>
    <row r="50" spans="1:9" ht="12.75">
      <c r="A50" s="705"/>
      <c r="B50" s="237"/>
      <c r="C50" s="237" t="s">
        <v>142</v>
      </c>
      <c r="D50" s="207" t="s">
        <v>119</v>
      </c>
      <c r="E50" s="694">
        <f>IF(E45="","",E45-E5-E46-E48)</f>
      </c>
      <c r="G50" s="207" t="s">
        <v>119</v>
      </c>
      <c r="H50" s="694">
        <f>IF(H45="","",H45-E3-H46-H48)</f>
      </c>
      <c r="I50" s="705"/>
    </row>
    <row r="51" spans="1:13" ht="12.75">
      <c r="A51" s="705"/>
      <c r="C51" s="89" t="s">
        <v>125</v>
      </c>
      <c r="D51" s="205" t="s">
        <v>119</v>
      </c>
      <c r="E51" s="832"/>
      <c r="F51" s="237"/>
      <c r="G51" s="205" t="s">
        <v>119</v>
      </c>
      <c r="H51" s="831"/>
      <c r="I51" s="705"/>
      <c r="M51" s="762"/>
    </row>
    <row r="52" spans="1:13" ht="12.75">
      <c r="A52" s="705"/>
      <c r="C52" s="763" t="s">
        <v>437</v>
      </c>
      <c r="D52" s="207" t="s">
        <v>119</v>
      </c>
      <c r="E52" s="764">
        <f>IF(E42="",0,PV(E39,E51,-E50))</f>
        <v>0</v>
      </c>
      <c r="G52" s="207" t="s">
        <v>119</v>
      </c>
      <c r="H52" s="765">
        <f>IF(H42="",0,PV(H39,H51,-H50))</f>
        <v>0</v>
      </c>
      <c r="I52" s="705"/>
      <c r="M52" s="766"/>
    </row>
    <row r="53" spans="1:14" ht="12.75" customHeight="1" thickBot="1">
      <c r="A53" s="723"/>
      <c r="B53" s="738"/>
      <c r="C53" s="739"/>
      <c r="D53" s="739"/>
      <c r="E53" s="739"/>
      <c r="F53" s="767"/>
      <c r="G53" s="739"/>
      <c r="H53" s="744"/>
      <c r="I53" s="723"/>
      <c r="N53" s="237"/>
    </row>
    <row r="54" spans="1:14" ht="12.75">
      <c r="A54" s="768"/>
      <c r="B54" s="769" t="s">
        <v>443</v>
      </c>
      <c r="C54" s="730"/>
      <c r="D54" s="770" t="str">
        <f>IF(H3="","","(needs after children leave home)")</f>
        <v>(needs after children leave home)</v>
      </c>
      <c r="E54" s="771"/>
      <c r="F54" s="772"/>
      <c r="G54" s="773"/>
      <c r="H54" s="771"/>
      <c r="I54" s="768"/>
      <c r="M54" s="766"/>
      <c r="N54" s="766"/>
    </row>
    <row r="55" spans="1:14" ht="12.75">
      <c r="A55" s="705"/>
      <c r="B55" s="237" t="s">
        <v>136</v>
      </c>
      <c r="C55" s="89"/>
      <c r="D55" s="205"/>
      <c r="E55" s="562"/>
      <c r="F55" s="237"/>
      <c r="G55" s="205"/>
      <c r="H55" s="563"/>
      <c r="I55" s="705"/>
      <c r="M55" s="766"/>
      <c r="N55" s="766"/>
    </row>
    <row r="56" spans="1:14" ht="12.75">
      <c r="A56" s="705"/>
      <c r="B56" s="237" t="s">
        <v>141</v>
      </c>
      <c r="D56" s="205"/>
      <c r="E56" s="774"/>
      <c r="F56" s="237"/>
      <c r="G56" s="207"/>
      <c r="H56" s="775"/>
      <c r="I56" s="705"/>
      <c r="M56" s="766"/>
      <c r="N56" s="766"/>
    </row>
    <row r="57" spans="1:14" ht="12.75">
      <c r="A57" s="705"/>
      <c r="C57" s="698" t="s">
        <v>135</v>
      </c>
      <c r="D57" s="205" t="s">
        <v>134</v>
      </c>
      <c r="E57" s="757">
        <f>IF(E55="","",IF(E55=1,0.7,IF(E55=2,0.74,IF(E55=3,0.78,0.8))))</f>
      </c>
      <c r="F57" s="237"/>
      <c r="G57" s="205" t="s">
        <v>134</v>
      </c>
      <c r="H57" s="757">
        <f>IF(H55="","",IF(H55=1,0.7,IF(H55=2,0.74,IF(H55=3,0.78,0.8))))</f>
      </c>
      <c r="I57" s="705"/>
      <c r="M57" s="766"/>
      <c r="N57" s="766"/>
    </row>
    <row r="58" spans="1:14" ht="12.75">
      <c r="A58" s="705"/>
      <c r="B58" s="698" t="s">
        <v>140</v>
      </c>
      <c r="D58" s="205" t="s">
        <v>119</v>
      </c>
      <c r="E58" s="694">
        <f>IF(E57="","",E34*E57)</f>
      </c>
      <c r="F58" s="237"/>
      <c r="G58" s="205" t="s">
        <v>119</v>
      </c>
      <c r="H58" s="694">
        <f>IF(H57="","",H34*H57)</f>
      </c>
      <c r="I58" s="705"/>
      <c r="M58" s="766"/>
      <c r="N58" s="766"/>
    </row>
    <row r="59" spans="1:14" ht="12.75">
      <c r="A59" s="705"/>
      <c r="B59" s="237" t="s">
        <v>681</v>
      </c>
      <c r="C59" s="89"/>
      <c r="D59" s="205" t="s">
        <v>120</v>
      </c>
      <c r="E59" s="558"/>
      <c r="F59" s="237"/>
      <c r="G59" s="205" t="s">
        <v>120</v>
      </c>
      <c r="H59" s="833"/>
      <c r="I59" s="705"/>
      <c r="M59" s="766"/>
      <c r="N59" s="766"/>
    </row>
    <row r="60" spans="1:14" ht="12.75">
      <c r="A60" s="705"/>
      <c r="B60" s="237" t="s">
        <v>144</v>
      </c>
      <c r="C60" s="89"/>
      <c r="D60" s="205" t="s">
        <v>120</v>
      </c>
      <c r="E60" s="558"/>
      <c r="F60" s="237"/>
      <c r="G60" s="205" t="s">
        <v>120</v>
      </c>
      <c r="H60" s="559"/>
      <c r="I60" s="705"/>
      <c r="M60" s="766"/>
      <c r="N60" s="766"/>
    </row>
    <row r="61" spans="1:14" ht="12.75">
      <c r="A61" s="705"/>
      <c r="B61" s="237" t="s">
        <v>143</v>
      </c>
      <c r="C61" s="89"/>
      <c r="D61" s="205" t="s">
        <v>119</v>
      </c>
      <c r="E61" s="694">
        <f>IF(E58="","",E58-E59-E60)</f>
      </c>
      <c r="F61" s="237"/>
      <c r="G61" s="205" t="s">
        <v>119</v>
      </c>
      <c r="H61" s="694">
        <f>IF(H58="","",H58-H59-H60)</f>
      </c>
      <c r="I61" s="705"/>
      <c r="M61" s="776"/>
      <c r="N61" s="766"/>
    </row>
    <row r="62" spans="1:14" ht="12.75">
      <c r="A62" s="705"/>
      <c r="B62" s="237"/>
      <c r="C62" s="89"/>
      <c r="D62" s="205"/>
      <c r="E62" s="777"/>
      <c r="F62" s="237"/>
      <c r="G62" s="205"/>
      <c r="H62" s="777"/>
      <c r="I62" s="705"/>
      <c r="M62" s="776"/>
      <c r="N62" s="766"/>
    </row>
    <row r="63" spans="1:14" ht="12.75">
      <c r="A63" s="705"/>
      <c r="C63" s="1370" t="str">
        <f>IF(OR(E51=0,H51=0),"Years until survivor reaches age 60","Years from when youngest child reaches 18 until survivor reaches age 60")</f>
        <v>Years until survivor reaches age 60</v>
      </c>
      <c r="D63" s="205"/>
      <c r="E63" s="778"/>
      <c r="F63" s="237"/>
      <c r="G63" s="205"/>
      <c r="H63" s="778"/>
      <c r="I63" s="705"/>
      <c r="M63" s="766"/>
      <c r="N63" s="766"/>
    </row>
    <row r="64" spans="1:14" ht="12.75">
      <c r="A64" s="705"/>
      <c r="B64" s="779"/>
      <c r="C64" s="1370"/>
      <c r="D64" s="205" t="s">
        <v>119</v>
      </c>
      <c r="E64" s="780">
        <f>IF(E4=0,"",MAX(0,60-E51-E4))</f>
      </c>
      <c r="F64" s="237"/>
      <c r="G64" s="205" t="s">
        <v>119</v>
      </c>
      <c r="H64" s="501">
        <f>IF(E2=0,"",MAX(0,60-H51-E2))</f>
      </c>
      <c r="I64" s="705"/>
      <c r="M64" s="766"/>
      <c r="N64" s="776"/>
    </row>
    <row r="65" spans="1:14" ht="12.75">
      <c r="A65" s="705"/>
      <c r="B65" s="707"/>
      <c r="C65" s="708" t="s">
        <v>366</v>
      </c>
      <c r="D65" s="695" t="s">
        <v>119</v>
      </c>
      <c r="E65" s="781">
        <f>IF(OR(E64="",E55=""),0,IF(E64&gt;0,PV(E36*(1-E37),E51,0,PV(E39,E64,E61,0,1)),0))</f>
        <v>0</v>
      </c>
      <c r="F65" s="720"/>
      <c r="G65" s="695" t="s">
        <v>119</v>
      </c>
      <c r="H65" s="781">
        <f>IF(OR(H64="",H55=""),0,IF(H64&gt;0,PV(H36*(1-H37),H51,0,PV(H39,H64,H61,0,1)),0))</f>
        <v>0</v>
      </c>
      <c r="I65" s="705"/>
      <c r="M65" s="766"/>
      <c r="N65" s="766"/>
    </row>
    <row r="66" spans="1:14" ht="12.75">
      <c r="A66" s="705"/>
      <c r="B66" s="89"/>
      <c r="C66" s="89"/>
      <c r="D66" s="205"/>
      <c r="E66" s="187"/>
      <c r="F66" s="237"/>
      <c r="G66" s="205"/>
      <c r="H66" s="187"/>
      <c r="I66" s="705"/>
      <c r="M66" s="766"/>
      <c r="N66" s="766"/>
    </row>
    <row r="67" spans="1:14" ht="12.75">
      <c r="A67" s="705"/>
      <c r="B67" s="706" t="s">
        <v>364</v>
      </c>
      <c r="C67" s="707"/>
      <c r="D67" s="693"/>
      <c r="E67" s="782"/>
      <c r="F67" s="719"/>
      <c r="G67" s="693"/>
      <c r="H67" s="782"/>
      <c r="I67" s="705"/>
      <c r="M67" s="766"/>
      <c r="N67" s="766"/>
    </row>
    <row r="68" spans="1:14" ht="12.75">
      <c r="A68" s="705"/>
      <c r="B68" s="89" t="s">
        <v>613</v>
      </c>
      <c r="C68" s="237"/>
      <c r="D68" s="205"/>
      <c r="E68" s="777"/>
      <c r="F68" s="237"/>
      <c r="G68" s="205"/>
      <c r="H68" s="777"/>
      <c r="I68" s="705"/>
      <c r="M68" s="766"/>
      <c r="N68" s="766"/>
    </row>
    <row r="69" spans="1:14" ht="12.75">
      <c r="A69" s="705"/>
      <c r="B69" s="707"/>
      <c r="C69" s="707" t="s">
        <v>614</v>
      </c>
      <c r="D69" s="695" t="s">
        <v>119</v>
      </c>
      <c r="E69" s="558"/>
      <c r="F69" s="720"/>
      <c r="G69" s="695" t="s">
        <v>119</v>
      </c>
      <c r="H69" s="559"/>
      <c r="I69" s="705"/>
      <c r="M69" s="766"/>
      <c r="N69" s="766"/>
    </row>
    <row r="70" spans="1:14" ht="13.5" thickBot="1">
      <c r="A70" s="705"/>
      <c r="B70" s="89"/>
      <c r="C70" s="89"/>
      <c r="D70" s="205"/>
      <c r="E70" s="187"/>
      <c r="F70" s="207"/>
      <c r="G70" s="205"/>
      <c r="H70" s="187"/>
      <c r="I70" s="705"/>
      <c r="M70" s="766"/>
      <c r="N70" s="766"/>
    </row>
    <row r="71" spans="1:14" ht="12.75">
      <c r="A71" s="725"/>
      <c r="B71" s="244" t="s">
        <v>367</v>
      </c>
      <c r="C71" s="745"/>
      <c r="D71" s="746"/>
      <c r="E71" s="747"/>
      <c r="F71" s="748"/>
      <c r="G71" s="746"/>
      <c r="H71" s="747"/>
      <c r="I71" s="731"/>
      <c r="M71" s="766"/>
      <c r="N71" s="766"/>
    </row>
    <row r="72" spans="1:14" ht="12.75">
      <c r="A72" s="732"/>
      <c r="B72" s="749"/>
      <c r="C72" s="749" t="s">
        <v>417</v>
      </c>
      <c r="D72" s="750"/>
      <c r="E72" s="560"/>
      <c r="F72" s="751"/>
      <c r="G72" s="750"/>
      <c r="H72" s="560"/>
      <c r="I72" s="734"/>
      <c r="M72" s="766"/>
      <c r="N72" s="766"/>
    </row>
    <row r="73" spans="1:14" ht="12.75">
      <c r="A73" s="732"/>
      <c r="B73" s="89"/>
      <c r="C73" s="89" t="s">
        <v>459</v>
      </c>
      <c r="D73" s="205"/>
      <c r="E73" s="560"/>
      <c r="F73" s="237"/>
      <c r="G73" s="205"/>
      <c r="H73" s="560"/>
      <c r="I73" s="734"/>
      <c r="M73" s="766"/>
      <c r="N73" s="766"/>
    </row>
    <row r="74" spans="1:9" ht="12.75">
      <c r="A74" s="732"/>
      <c r="B74" s="237"/>
      <c r="C74" s="89" t="s">
        <v>126</v>
      </c>
      <c r="D74" s="205"/>
      <c r="E74" s="560"/>
      <c r="F74" s="237"/>
      <c r="G74" s="205"/>
      <c r="H74" s="560"/>
      <c r="I74" s="734"/>
    </row>
    <row r="75" spans="1:9" ht="12.75">
      <c r="A75" s="732"/>
      <c r="B75" s="237" t="s">
        <v>129</v>
      </c>
      <c r="C75" s="89"/>
      <c r="D75" s="205"/>
      <c r="E75" s="783">
        <f>((1+(E72*(1-E73)))/(1+E74))-1</f>
        <v>0</v>
      </c>
      <c r="F75" s="237"/>
      <c r="G75" s="205"/>
      <c r="H75" s="783">
        <f>((1+(H72*(1-H73)))/(1+H74))-1</f>
        <v>0</v>
      </c>
      <c r="I75" s="734"/>
    </row>
    <row r="76" spans="1:9" ht="13.5" thickBot="1">
      <c r="A76" s="738"/>
      <c r="B76" s="740"/>
      <c r="C76" s="739"/>
      <c r="D76" s="741"/>
      <c r="E76" s="784"/>
      <c r="F76" s="740"/>
      <c r="G76" s="741"/>
      <c r="H76" s="784"/>
      <c r="I76" s="744"/>
    </row>
    <row r="77" spans="1:9" ht="12.75">
      <c r="A77" s="705"/>
      <c r="B77" s="237"/>
      <c r="C77" s="89"/>
      <c r="D77" s="205"/>
      <c r="E77" s="187"/>
      <c r="F77" s="237"/>
      <c r="G77" s="205"/>
      <c r="H77" s="187"/>
      <c r="I77" s="705"/>
    </row>
    <row r="78" spans="1:9" ht="12.75">
      <c r="A78" s="705"/>
      <c r="B78" s="706" t="s">
        <v>416</v>
      </c>
      <c r="C78" s="707"/>
      <c r="D78" s="693"/>
      <c r="E78" s="782"/>
      <c r="F78" s="719"/>
      <c r="G78" s="693"/>
      <c r="H78" s="782"/>
      <c r="I78" s="705"/>
    </row>
    <row r="79" spans="1:9" ht="12.75" customHeight="1">
      <c r="A79" s="705"/>
      <c r="B79" s="80"/>
      <c r="C79" s="204" t="s">
        <v>603</v>
      </c>
      <c r="D79" s="205" t="s">
        <v>119</v>
      </c>
      <c r="E79" s="785">
        <f>IF('Client Info'!D6="","",'Client Info'!D8)</f>
      </c>
      <c r="F79" s="237"/>
      <c r="G79" s="205" t="s">
        <v>119</v>
      </c>
      <c r="H79" s="786">
        <f>IF('Client Info'!H6="","",'Client Info'!H8)</f>
      </c>
      <c r="I79" s="734"/>
    </row>
    <row r="80" spans="1:9" ht="12.75">
      <c r="A80" s="705"/>
      <c r="B80" s="237" t="s">
        <v>360</v>
      </c>
      <c r="C80" s="89"/>
      <c r="D80" s="205"/>
      <c r="E80" s="558"/>
      <c r="F80" s="237"/>
      <c r="G80" s="205"/>
      <c r="H80" s="559"/>
      <c r="I80" s="705"/>
    </row>
    <row r="81" spans="1:9" ht="12.75">
      <c r="A81" s="705"/>
      <c r="B81" s="237" t="s">
        <v>601</v>
      </c>
      <c r="C81" s="89"/>
      <c r="D81" s="205"/>
      <c r="E81" s="777"/>
      <c r="F81" s="237"/>
      <c r="G81" s="205"/>
      <c r="H81" s="777"/>
      <c r="I81" s="705"/>
    </row>
    <row r="82" spans="1:9" ht="12.75">
      <c r="A82" s="705"/>
      <c r="B82" s="779"/>
      <c r="C82" s="787" t="s">
        <v>682</v>
      </c>
      <c r="D82" s="205" t="s">
        <v>120</v>
      </c>
      <c r="E82" s="558"/>
      <c r="F82" s="237"/>
      <c r="G82" s="205" t="s">
        <v>120</v>
      </c>
      <c r="H82" s="559"/>
      <c r="I82" s="705"/>
    </row>
    <row r="83" spans="1:9" ht="12.75">
      <c r="A83" s="705"/>
      <c r="B83" s="237" t="s">
        <v>147</v>
      </c>
      <c r="C83" s="89"/>
      <c r="D83" s="205" t="s">
        <v>119</v>
      </c>
      <c r="E83" s="694">
        <f>E80-E82</f>
        <v>0</v>
      </c>
      <c r="F83" s="237"/>
      <c r="G83" s="205" t="s">
        <v>119</v>
      </c>
      <c r="H83" s="761">
        <f>H80-H82</f>
        <v>0</v>
      </c>
      <c r="I83" s="705"/>
    </row>
    <row r="84" spans="1:9" ht="12.75">
      <c r="A84" s="705"/>
      <c r="B84" s="237"/>
      <c r="C84" s="721" t="s">
        <v>145</v>
      </c>
      <c r="D84" s="207" t="s">
        <v>119</v>
      </c>
      <c r="E84" s="788">
        <f>IF(E79="",0,PV(E36*(1-E37),E51+E64,0,PV(E75,E79-60,E83,0,1)))</f>
        <v>0</v>
      </c>
      <c r="F84" s="89"/>
      <c r="G84" s="207" t="s">
        <v>119</v>
      </c>
      <c r="H84" s="788">
        <f>IF(H79="",0,PV(H36*(1-H37),H51+H64,0,PV(H75,H79-60,H83,0,1)))</f>
        <v>0</v>
      </c>
      <c r="I84" s="705"/>
    </row>
    <row r="85" spans="1:9" ht="12.75">
      <c r="A85" s="705"/>
      <c r="B85" s="237"/>
      <c r="C85" s="89"/>
      <c r="D85" s="205"/>
      <c r="E85" s="789"/>
      <c r="F85" s="237"/>
      <c r="G85" s="205"/>
      <c r="H85" s="789"/>
      <c r="I85" s="705"/>
    </row>
    <row r="86" spans="1:9" ht="12.75">
      <c r="A86" s="705"/>
      <c r="B86" s="706" t="s">
        <v>460</v>
      </c>
      <c r="C86" s="707"/>
      <c r="D86" s="693"/>
      <c r="E86" s="782"/>
      <c r="F86" s="719"/>
      <c r="G86" s="693"/>
      <c r="H86" s="782"/>
      <c r="I86" s="705"/>
    </row>
    <row r="87" spans="1:9" ht="12.75" customHeight="1">
      <c r="A87" s="705"/>
      <c r="B87" s="80"/>
      <c r="C87" s="204" t="s">
        <v>604</v>
      </c>
      <c r="D87" s="205" t="s">
        <v>119</v>
      </c>
      <c r="E87" s="785">
        <f>IF('Client Info'!D9="","",'Client Info'!D9)</f>
      </c>
      <c r="F87" s="237"/>
      <c r="G87" s="205" t="s">
        <v>119</v>
      </c>
      <c r="H87" s="785">
        <f>IF('Client Info'!H9="","",'Client Info'!H9)</f>
      </c>
      <c r="I87" s="705"/>
    </row>
    <row r="88" spans="1:9" ht="12.75">
      <c r="A88" s="705"/>
      <c r="B88" s="237" t="s">
        <v>360</v>
      </c>
      <c r="C88" s="89"/>
      <c r="D88" s="205"/>
      <c r="E88" s="694">
        <f>E80</f>
        <v>0</v>
      </c>
      <c r="F88" s="237"/>
      <c r="G88" s="205"/>
      <c r="H88" s="761">
        <f>H80</f>
        <v>0</v>
      </c>
      <c r="I88" s="705"/>
    </row>
    <row r="89" spans="1:9" ht="12.75">
      <c r="A89" s="705"/>
      <c r="B89" s="237" t="s">
        <v>601</v>
      </c>
      <c r="C89" s="89"/>
      <c r="D89" s="205"/>
      <c r="E89" s="777"/>
      <c r="F89" s="237"/>
      <c r="G89" s="205"/>
      <c r="H89" s="777"/>
      <c r="I89" s="705"/>
    </row>
    <row r="90" spans="1:9" ht="12.75">
      <c r="A90" s="705"/>
      <c r="B90" s="779"/>
      <c r="C90" s="787" t="s">
        <v>600</v>
      </c>
      <c r="D90" s="205" t="s">
        <v>120</v>
      </c>
      <c r="E90" s="558"/>
      <c r="F90" s="237"/>
      <c r="G90" s="205" t="s">
        <v>120</v>
      </c>
      <c r="H90" s="559"/>
      <c r="I90" s="705"/>
    </row>
    <row r="91" spans="1:9" ht="12.75">
      <c r="A91" s="705"/>
      <c r="B91" s="237" t="s">
        <v>609</v>
      </c>
      <c r="C91" s="787"/>
      <c r="D91" s="205"/>
      <c r="E91" s="790"/>
      <c r="F91" s="237"/>
      <c r="G91" s="207"/>
      <c r="H91" s="791"/>
      <c r="I91" s="705"/>
    </row>
    <row r="92" spans="1:9" ht="12.75">
      <c r="A92" s="705"/>
      <c r="B92" s="237"/>
      <c r="C92" s="89" t="s">
        <v>610</v>
      </c>
      <c r="D92" s="205" t="s">
        <v>120</v>
      </c>
      <c r="E92" s="558"/>
      <c r="F92" s="237"/>
      <c r="G92" s="205" t="s">
        <v>120</v>
      </c>
      <c r="H92" s="559"/>
      <c r="I92" s="705"/>
    </row>
    <row r="93" spans="1:9" ht="12.75">
      <c r="A93" s="705"/>
      <c r="B93" s="237" t="s">
        <v>147</v>
      </c>
      <c r="C93" s="89"/>
      <c r="D93" s="205" t="s">
        <v>119</v>
      </c>
      <c r="E93" s="694">
        <f>E88-E90-E92</f>
        <v>0</v>
      </c>
      <c r="F93" s="237"/>
      <c r="G93" s="205" t="s">
        <v>119</v>
      </c>
      <c r="H93" s="761">
        <f>H88-H90-H92</f>
        <v>0</v>
      </c>
      <c r="I93" s="705"/>
    </row>
    <row r="94" spans="1:9" ht="12.75">
      <c r="A94" s="705"/>
      <c r="B94" s="719"/>
      <c r="C94" s="715" t="s">
        <v>146</v>
      </c>
      <c r="D94" s="695" t="s">
        <v>119</v>
      </c>
      <c r="E94" s="792">
        <f>IF(E87="",0,-PV(E36*(1-E37),E51+E64,0,PV(E72*(1-E73),E79-60,0,PV(E75,E87-E79,E93,0,1))))</f>
        <v>0</v>
      </c>
      <c r="F94" s="720"/>
      <c r="G94" s="695" t="s">
        <v>119</v>
      </c>
      <c r="H94" s="792">
        <f>IF(H87="",0,-PV(H36*(1-H37),H51+H64,0,PV(H72*(1-H73),H79-60,0,PV(H75,H87-H79,H93,0,1))))</f>
        <v>0</v>
      </c>
      <c r="I94" s="705"/>
    </row>
    <row r="95" spans="1:9" ht="12.75">
      <c r="A95" s="705"/>
      <c r="B95" s="89"/>
      <c r="C95" s="89"/>
      <c r="D95" s="89"/>
      <c r="E95" s="89"/>
      <c r="F95" s="89"/>
      <c r="G95" s="89"/>
      <c r="H95" s="89"/>
      <c r="I95" s="705"/>
    </row>
    <row r="96" spans="1:9" ht="13.5" thickBot="1">
      <c r="A96" s="705"/>
      <c r="B96" s="779" t="s">
        <v>776</v>
      </c>
      <c r="C96" s="237"/>
      <c r="D96" s="207"/>
      <c r="E96" s="1374" t="s">
        <v>775</v>
      </c>
      <c r="F96" s="1374"/>
      <c r="G96" s="1374"/>
      <c r="H96" s="1375"/>
      <c r="I96" s="705"/>
    </row>
    <row r="97" spans="1:9" ht="14.25" thickBot="1" thickTop="1">
      <c r="A97" s="705"/>
      <c r="B97" s="793"/>
      <c r="C97" s="794" t="s">
        <v>148</v>
      </c>
      <c r="D97" s="795" t="s">
        <v>119</v>
      </c>
      <c r="E97" s="796">
        <f>E15+E22+E28+E52+E65+E69+E84+E94</f>
        <v>0</v>
      </c>
      <c r="F97" s="797"/>
      <c r="G97" s="795" t="s">
        <v>119</v>
      </c>
      <c r="H97" s="798">
        <f>H15+H22+H28+H52+H65+H69+H84+H94</f>
        <v>0</v>
      </c>
      <c r="I97" s="705"/>
    </row>
    <row r="98" spans="1:9" ht="12.75">
      <c r="A98" s="705"/>
      <c r="B98" s="89"/>
      <c r="C98" s="89"/>
      <c r="D98" s="205"/>
      <c r="E98" s="799"/>
      <c r="F98" s="237"/>
      <c r="G98" s="205"/>
      <c r="H98" s="799"/>
      <c r="I98" s="705"/>
    </row>
    <row r="99" spans="1:9" ht="12.75">
      <c r="A99" s="705"/>
      <c r="B99" s="706" t="s">
        <v>365</v>
      </c>
      <c r="C99" s="707"/>
      <c r="D99" s="693"/>
      <c r="E99" s="800"/>
      <c r="F99" s="719"/>
      <c r="G99" s="693"/>
      <c r="H99" s="800"/>
      <c r="I99" s="705"/>
    </row>
    <row r="100" spans="1:14" ht="12.75">
      <c r="A100" s="705"/>
      <c r="B100" s="89" t="s">
        <v>605</v>
      </c>
      <c r="C100" s="89"/>
      <c r="D100" s="205"/>
      <c r="E100" s="558"/>
      <c r="F100" s="237"/>
      <c r="G100" s="205"/>
      <c r="H100" s="559"/>
      <c r="I100" s="705"/>
      <c r="N100" s="1225"/>
    </row>
    <row r="101" spans="1:12" ht="12.75">
      <c r="A101" s="705"/>
      <c r="B101" s="89" t="s">
        <v>127</v>
      </c>
      <c r="C101" s="89"/>
      <c r="D101" s="205" t="s">
        <v>121</v>
      </c>
      <c r="E101" s="558"/>
      <c r="F101" s="237"/>
      <c r="G101" s="205" t="s">
        <v>121</v>
      </c>
      <c r="H101" s="559"/>
      <c r="I101" s="705"/>
      <c r="L101" s="1225"/>
    </row>
    <row r="102" spans="1:9" ht="12.75">
      <c r="A102" s="705"/>
      <c r="B102" s="89" t="s">
        <v>128</v>
      </c>
      <c r="C102" s="89"/>
      <c r="D102" s="205" t="s">
        <v>121</v>
      </c>
      <c r="E102" s="558"/>
      <c r="F102" s="237"/>
      <c r="G102" s="205" t="s">
        <v>121</v>
      </c>
      <c r="H102" s="559"/>
      <c r="I102" s="705"/>
    </row>
    <row r="103" spans="1:9" ht="13.5" thickBot="1">
      <c r="A103" s="705"/>
      <c r="B103" s="80"/>
      <c r="C103" s="721" t="s">
        <v>149</v>
      </c>
      <c r="D103" s="207" t="s">
        <v>119</v>
      </c>
      <c r="E103" s="801">
        <f>E100+E101+E102</f>
        <v>0</v>
      </c>
      <c r="F103" s="722"/>
      <c r="G103" s="207" t="s">
        <v>119</v>
      </c>
      <c r="H103" s="802">
        <f>H100+H101+H102</f>
        <v>0</v>
      </c>
      <c r="I103" s="705"/>
    </row>
    <row r="104" spans="1:9" ht="13.5" thickTop="1">
      <c r="A104" s="705"/>
      <c r="B104" s="803"/>
      <c r="C104" s="804"/>
      <c r="D104" s="805"/>
      <c r="E104" s="1376" t="s">
        <v>819</v>
      </c>
      <c r="F104" s="1376"/>
      <c r="G104" s="1376"/>
      <c r="H104" s="1377"/>
      <c r="I104" s="705"/>
    </row>
    <row r="105" spans="1:9" ht="12.75">
      <c r="A105" s="705"/>
      <c r="B105" s="1371" t="s">
        <v>818</v>
      </c>
      <c r="C105" s="1372"/>
      <c r="D105" s="207" t="s">
        <v>119</v>
      </c>
      <c r="E105" s="806" t="str">
        <f>IF(E97=0,"Not Complete",MAX(E97-E103,0))</f>
        <v>Not Complete</v>
      </c>
      <c r="F105" s="89"/>
      <c r="G105" s="207" t="s">
        <v>119</v>
      </c>
      <c r="H105" s="806" t="str">
        <f>IF(H97=0,"Not Complete",MAX(H97-H103,0))</f>
        <v>Not Complete</v>
      </c>
      <c r="I105" s="705"/>
    </row>
    <row r="106" spans="1:9" ht="13.5" thickBot="1">
      <c r="A106" s="723"/>
      <c r="B106" s="739"/>
      <c r="C106" s="739"/>
      <c r="D106" s="741"/>
      <c r="E106" s="807"/>
      <c r="F106" s="740"/>
      <c r="G106" s="741"/>
      <c r="H106" s="807"/>
      <c r="I106" s="723"/>
    </row>
    <row r="107" spans="1:9" ht="13.5" thickBot="1">
      <c r="A107" s="89"/>
      <c r="B107" s="89"/>
      <c r="C107" s="89"/>
      <c r="D107" s="205"/>
      <c r="E107" s="799"/>
      <c r="F107" s="237"/>
      <c r="G107" s="205"/>
      <c r="H107" s="799"/>
      <c r="I107" s="89"/>
    </row>
    <row r="108" spans="1:9" ht="13.5" thickBot="1">
      <c r="A108" s="1358" t="s">
        <v>820</v>
      </c>
      <c r="B108" s="1359"/>
      <c r="C108" s="1359"/>
      <c r="D108" s="1359"/>
      <c r="E108" s="1359"/>
      <c r="F108" s="1359"/>
      <c r="G108" s="1359"/>
      <c r="H108" s="1359"/>
      <c r="I108" s="1360"/>
    </row>
    <row r="109" spans="1:9" ht="13.5" thickBot="1">
      <c r="A109" s="1206"/>
      <c r="B109" s="1193"/>
      <c r="C109" s="1194"/>
      <c r="D109" s="1194"/>
      <c r="E109" s="1194"/>
      <c r="F109" s="1194"/>
      <c r="G109" s="1194"/>
      <c r="H109" s="1195"/>
      <c r="I109" s="1207"/>
    </row>
    <row r="110" spans="1:9" ht="13.5" customHeight="1">
      <c r="A110" s="705"/>
      <c r="B110" s="1346" t="s">
        <v>777</v>
      </c>
      <c r="C110" s="1347"/>
      <c r="D110" s="1347"/>
      <c r="E110" s="1347"/>
      <c r="F110" s="1347"/>
      <c r="G110" s="1347"/>
      <c r="H110" s="1348"/>
      <c r="I110" s="705"/>
    </row>
    <row r="111" spans="1:11" ht="13.5" thickBot="1">
      <c r="A111" s="705"/>
      <c r="B111" s="1349"/>
      <c r="C111" s="1350"/>
      <c r="D111" s="1350"/>
      <c r="E111" s="1350"/>
      <c r="F111" s="1350"/>
      <c r="G111" s="1350"/>
      <c r="H111" s="1351"/>
      <c r="I111" s="705"/>
      <c r="K111" s="735"/>
    </row>
    <row r="112" spans="1:11" ht="13.5" customHeight="1" thickTop="1">
      <c r="A112" s="705"/>
      <c r="B112" s="1200"/>
      <c r="C112" s="1202" t="s">
        <v>784</v>
      </c>
      <c r="D112" s="1201" t="s">
        <v>119</v>
      </c>
      <c r="E112" s="1209"/>
      <c r="F112" s="1201"/>
      <c r="G112" s="1201"/>
      <c r="H112" s="1212"/>
      <c r="I112" s="734"/>
      <c r="K112" s="735"/>
    </row>
    <row r="113" spans="1:11" ht="12.75">
      <c r="A113" s="705"/>
      <c r="B113" s="1196"/>
      <c r="C113" s="1203" t="s">
        <v>778</v>
      </c>
      <c r="D113" s="1197" t="s">
        <v>119</v>
      </c>
      <c r="E113" s="1210"/>
      <c r="F113" s="1197"/>
      <c r="G113" s="1197"/>
      <c r="H113" s="1213"/>
      <c r="I113" s="734"/>
      <c r="K113" s="735" t="s">
        <v>780</v>
      </c>
    </row>
    <row r="114" spans="1:11" ht="12.75">
      <c r="A114" s="705"/>
      <c r="B114" s="732"/>
      <c r="C114" s="204" t="s">
        <v>779</v>
      </c>
      <c r="D114" s="1204" t="s">
        <v>119</v>
      </c>
      <c r="E114" s="1211"/>
      <c r="F114" s="205"/>
      <c r="G114" s="205"/>
      <c r="H114" s="1214"/>
      <c r="I114" s="734"/>
      <c r="K114" s="735" t="s">
        <v>781</v>
      </c>
    </row>
    <row r="115" spans="1:11" ht="12.75">
      <c r="A115" s="705"/>
      <c r="B115" s="732"/>
      <c r="C115" s="204" t="s">
        <v>782</v>
      </c>
      <c r="D115" s="1204" t="s">
        <v>119</v>
      </c>
      <c r="E115" s="811">
        <f>MAX(0,'Client Info'!H8-'Client Info'!H6)</f>
        <v>0</v>
      </c>
      <c r="F115" s="205"/>
      <c r="G115" s="205"/>
      <c r="H115" s="1205">
        <f>MAX(0,'Client Info'!D8-'Client Info'!D6)</f>
        <v>0</v>
      </c>
      <c r="I115" s="734"/>
      <c r="K115" s="735"/>
    </row>
    <row r="116" spans="1:9" ht="13.5" thickBot="1">
      <c r="A116" s="705"/>
      <c r="B116" s="815"/>
      <c r="C116" s="818"/>
      <c r="D116" s="816"/>
      <c r="E116" s="816"/>
      <c r="F116" s="816"/>
      <c r="G116" s="816"/>
      <c r="H116" s="1199"/>
      <c r="I116" s="734"/>
    </row>
    <row r="117" spans="1:9" ht="39" thickTop="1">
      <c r="A117" s="705"/>
      <c r="B117" s="732"/>
      <c r="C117" s="89"/>
      <c r="D117" s="205"/>
      <c r="E117" s="1208" t="s">
        <v>822</v>
      </c>
      <c r="F117" s="205"/>
      <c r="G117" s="205"/>
      <c r="H117" s="1198" t="s">
        <v>823</v>
      </c>
      <c r="I117" s="705"/>
    </row>
    <row r="118" spans="1:9" ht="16.5" customHeight="1">
      <c r="A118" s="705"/>
      <c r="B118" s="1356" t="s">
        <v>824</v>
      </c>
      <c r="C118" s="1357"/>
      <c r="D118" s="695" t="s">
        <v>119</v>
      </c>
      <c r="E118" s="808">
        <f>IF(E112&gt;0,MAX(0,IF(E114="Start",((E121/(E112-E113))*(1-(((1+E113)^E115)/((1+E112)^E115)))*(1+E112)-E100),((E121/(E112-E113))*(1-(((1+E113)^E115)/((1+E112)^E115)))-E100))),"")</f>
      </c>
      <c r="F118" s="719"/>
      <c r="G118" s="695" t="s">
        <v>119</v>
      </c>
      <c r="H118" s="808">
        <f>IF(H112&gt;0,MAX(0,IF(H114="Start",((H121/(H112-H113))*(1-(((1+H113)^H115)/((1+H112)^H115)))*(1+H112)-H100),((H121/(H112-H113))*(1-(((1+H113)^H115)/((1+H112)^H115)))-H100))),"")</f>
      </c>
      <c r="I118" s="705"/>
    </row>
    <row r="119" spans="1:9" ht="12.75">
      <c r="A119" s="705"/>
      <c r="B119" s="89"/>
      <c r="C119" s="89" t="s">
        <v>130</v>
      </c>
      <c r="D119" s="205"/>
      <c r="E119" s="809">
        <f>E112</f>
        <v>0</v>
      </c>
      <c r="F119" s="237"/>
      <c r="G119" s="207"/>
      <c r="H119" s="810">
        <f>H112</f>
        <v>0</v>
      </c>
      <c r="I119" s="705"/>
    </row>
    <row r="120" spans="1:9" ht="12.75">
      <c r="A120" s="705"/>
      <c r="B120" s="237"/>
      <c r="C120" s="89" t="s">
        <v>602</v>
      </c>
      <c r="D120" s="205"/>
      <c r="E120" s="811">
        <f>MAX(0,'Client Info'!H8-'Client Info'!H6)</f>
        <v>0</v>
      </c>
      <c r="F120" s="89"/>
      <c r="G120" s="205"/>
      <c r="H120" s="812">
        <f>MAX(0,'Client Info'!D8-'Client Info'!D6)</f>
        <v>0</v>
      </c>
      <c r="I120" s="705"/>
    </row>
    <row r="121" spans="1:9" ht="12.75">
      <c r="A121" s="705"/>
      <c r="B121" s="237"/>
      <c r="C121" s="237" t="s">
        <v>541</v>
      </c>
      <c r="D121" s="205"/>
      <c r="E121" s="1192"/>
      <c r="F121" s="89"/>
      <c r="G121" s="205"/>
      <c r="H121" s="833"/>
      <c r="I121" s="705"/>
    </row>
    <row r="122" spans="1:9" ht="13.5" thickBot="1">
      <c r="A122" s="705"/>
      <c r="B122" s="815"/>
      <c r="C122" s="818" t="s">
        <v>827</v>
      </c>
      <c r="D122" s="816"/>
      <c r="E122" s="817"/>
      <c r="F122" s="818"/>
      <c r="G122" s="816"/>
      <c r="H122" s="819"/>
      <c r="I122" s="705"/>
    </row>
    <row r="123" spans="1:9" ht="16.5" customHeight="1" thickTop="1">
      <c r="A123" s="705"/>
      <c r="B123" s="1352" t="s">
        <v>825</v>
      </c>
      <c r="C123" s="1353"/>
      <c r="D123" s="825" t="s">
        <v>119</v>
      </c>
      <c r="E123" s="821">
        <f>IF(E112&gt;0,MAX(0,IF(E114="Start",((E126/(E112-E113))*(1+E112)-E100),(E126/(E112-E113)-E100))),"")</f>
      </c>
      <c r="F123" s="826"/>
      <c r="G123" s="825" t="s">
        <v>119</v>
      </c>
      <c r="H123" s="821">
        <f>IF(H112&gt;0,MAX(0,IF(H114="Start",((H126/(H112-H113))*(1+H112)-H100),(H126/(H112-H113)-H100))),"")</f>
      </c>
      <c r="I123" s="705"/>
    </row>
    <row r="124" spans="1:9" ht="12.75">
      <c r="A124" s="705"/>
      <c r="B124" s="237"/>
      <c r="C124" s="89" t="s">
        <v>130</v>
      </c>
      <c r="D124" s="205"/>
      <c r="E124" s="809">
        <f>E119</f>
        <v>0</v>
      </c>
      <c r="F124" s="89"/>
      <c r="G124" s="205"/>
      <c r="H124" s="810">
        <f>H119</f>
        <v>0</v>
      </c>
      <c r="I124" s="705"/>
    </row>
    <row r="125" spans="1:9" ht="12.75">
      <c r="A125" s="705"/>
      <c r="B125" s="237"/>
      <c r="C125" s="89" t="s">
        <v>361</v>
      </c>
      <c r="D125" s="205"/>
      <c r="E125" s="811">
        <f>E120</f>
        <v>0</v>
      </c>
      <c r="F125" s="89"/>
      <c r="G125" s="205"/>
      <c r="H125" s="812">
        <f>H120</f>
        <v>0</v>
      </c>
      <c r="I125" s="705"/>
    </row>
    <row r="126" spans="1:9" ht="12.75">
      <c r="A126" s="705"/>
      <c r="B126" s="89"/>
      <c r="C126" s="237" t="s">
        <v>541</v>
      </c>
      <c r="D126" s="205"/>
      <c r="E126" s="813">
        <f>E121</f>
        <v>0</v>
      </c>
      <c r="F126" s="89"/>
      <c r="G126" s="205"/>
      <c r="H126" s="814">
        <f>H121</f>
        <v>0</v>
      </c>
      <c r="I126" s="705"/>
    </row>
    <row r="127" spans="1:9" ht="13.5" thickBot="1">
      <c r="A127" s="705"/>
      <c r="B127" s="815"/>
      <c r="C127" s="818" t="s">
        <v>827</v>
      </c>
      <c r="D127" s="816"/>
      <c r="E127" s="827"/>
      <c r="F127" s="818"/>
      <c r="G127" s="816"/>
      <c r="H127" s="828"/>
      <c r="I127" s="705"/>
    </row>
    <row r="128" spans="1:9" ht="16.5" customHeight="1" thickTop="1">
      <c r="A128" s="705"/>
      <c r="B128" s="1352" t="s">
        <v>826</v>
      </c>
      <c r="C128" s="1353"/>
      <c r="D128" s="825" t="s">
        <v>119</v>
      </c>
      <c r="E128" s="808">
        <f>IF(E112&gt;0,MAX(0,IF(E114="Start",((E133/(E112-E113))*(1-(((1+E113)^E115)/((1+E112)^E115)))*(1+E112)-E100),((E133/(E112-E113))*(1-(((1+E113)^E115)/((1+E112)^E115)))-E100))),"")</f>
      </c>
      <c r="F128" s="826"/>
      <c r="G128" s="825" t="s">
        <v>119</v>
      </c>
      <c r="H128" s="808">
        <f>IF(H112&gt;0,MAX(0,IF(H114="Start",((H133/(H112-H113))*(1-(((1+H113)^H115)/((1+H112)^H115)))*(1+H112)-H100),((H133/(H112-H113))*(1-(((1+H113)^H115)/((1+H112)^H115)))-H100))),"")</f>
      </c>
      <c r="I128" s="705"/>
    </row>
    <row r="129" spans="1:9" ht="12.75" customHeight="1">
      <c r="A129" s="705"/>
      <c r="B129" s="829"/>
      <c r="C129" s="89" t="s">
        <v>130</v>
      </c>
      <c r="D129" s="205"/>
      <c r="E129" s="809">
        <f>E119</f>
        <v>0</v>
      </c>
      <c r="F129" s="237"/>
      <c r="G129" s="205"/>
      <c r="H129" s="810">
        <f>H119</f>
        <v>0</v>
      </c>
      <c r="I129" s="705"/>
    </row>
    <row r="130" spans="1:9" ht="12.75" customHeight="1">
      <c r="A130" s="705"/>
      <c r="B130" s="829"/>
      <c r="C130" s="89" t="s">
        <v>361</v>
      </c>
      <c r="D130" s="205"/>
      <c r="E130" s="811">
        <f>E120</f>
        <v>0</v>
      </c>
      <c r="F130" s="237"/>
      <c r="G130" s="205"/>
      <c r="H130" s="812">
        <f>H120</f>
        <v>0</v>
      </c>
      <c r="I130" s="705"/>
    </row>
    <row r="131" spans="1:9" ht="12.75" customHeight="1">
      <c r="A131" s="705"/>
      <c r="B131" s="829"/>
      <c r="C131" s="237" t="s">
        <v>786</v>
      </c>
      <c r="D131" s="205"/>
      <c r="E131" s="1192"/>
      <c r="F131" s="237"/>
      <c r="G131" s="205"/>
      <c r="H131" s="833"/>
      <c r="I131" s="705"/>
    </row>
    <row r="132" spans="1:9" ht="12.75" customHeight="1">
      <c r="A132" s="705"/>
      <c r="B132" s="829"/>
      <c r="C132" s="237" t="s">
        <v>785</v>
      </c>
      <c r="D132" s="205"/>
      <c r="E132" s="1192"/>
      <c r="F132" s="237"/>
      <c r="G132" s="205"/>
      <c r="H132" s="833"/>
      <c r="I132" s="705"/>
    </row>
    <row r="133" spans="1:9" ht="12.75" customHeight="1">
      <c r="A133" s="705"/>
      <c r="B133" s="237"/>
      <c r="C133" s="89" t="s">
        <v>132</v>
      </c>
      <c r="D133" s="205"/>
      <c r="E133" s="813">
        <f>E131-E132</f>
        <v>0</v>
      </c>
      <c r="F133" s="89"/>
      <c r="G133" s="205"/>
      <c r="H133" s="814">
        <f>H131-H132</f>
        <v>0</v>
      </c>
      <c r="I133" s="705"/>
    </row>
    <row r="134" spans="1:9" ht="13.5" thickBot="1">
      <c r="A134" s="705"/>
      <c r="B134" s="830"/>
      <c r="C134" s="818" t="s">
        <v>827</v>
      </c>
      <c r="D134" s="816"/>
      <c r="E134" s="818"/>
      <c r="F134" s="818"/>
      <c r="G134" s="816"/>
      <c r="H134" s="824"/>
      <c r="I134" s="705"/>
    </row>
    <row r="135" spans="1:9" ht="16.5" customHeight="1" thickTop="1">
      <c r="A135" s="705"/>
      <c r="B135" s="1354" t="s">
        <v>371</v>
      </c>
      <c r="C135" s="1355"/>
      <c r="D135" s="820" t="s">
        <v>119</v>
      </c>
      <c r="E135" s="821" t="e">
        <f>MAX(0,(E137*E136)-E100)</f>
        <v>#VALUE!</v>
      </c>
      <c r="F135" s="822"/>
      <c r="G135" s="820" t="s">
        <v>119</v>
      </c>
      <c r="H135" s="823">
        <f>MAX(0,(H137*H136)-H100)</f>
        <v>0</v>
      </c>
      <c r="I135" s="705"/>
    </row>
    <row r="136" spans="1:9" ht="12.75">
      <c r="A136" s="705"/>
      <c r="B136" s="89"/>
      <c r="C136" s="89" t="s">
        <v>783</v>
      </c>
      <c r="D136" s="205"/>
      <c r="E136" s="834"/>
      <c r="F136" s="89"/>
      <c r="G136" s="205"/>
      <c r="H136" s="835"/>
      <c r="I136" s="705"/>
    </row>
    <row r="137" spans="1:9" ht="12.75">
      <c r="A137" s="705"/>
      <c r="B137" s="89"/>
      <c r="C137" s="237" t="s">
        <v>541</v>
      </c>
      <c r="D137" s="205"/>
      <c r="E137" s="813" t="str">
        <f>E3</f>
        <v>                                                                                                                                                                                                    </v>
      </c>
      <c r="F137" s="89"/>
      <c r="G137" s="205"/>
      <c r="H137" s="814">
        <f>E5</f>
        <v>0</v>
      </c>
      <c r="I137" s="705"/>
    </row>
    <row r="138" spans="1:9" ht="13.5" thickBot="1">
      <c r="A138" s="705"/>
      <c r="B138" s="815"/>
      <c r="C138" s="818" t="s">
        <v>827</v>
      </c>
      <c r="D138" s="816"/>
      <c r="E138" s="89"/>
      <c r="F138" s="818"/>
      <c r="G138" s="816"/>
      <c r="H138" s="734"/>
      <c r="I138" s="705"/>
    </row>
    <row r="139" spans="1:9" ht="13.5" thickTop="1">
      <c r="A139" s="732"/>
      <c r="B139" s="96" t="s">
        <v>821</v>
      </c>
      <c r="C139" s="89"/>
      <c r="D139" s="205"/>
      <c r="E139" s="821" t="e">
        <f>IF(E105="Not Complete",AVERAGE(E135,E128,E123,E118),AVERAGE(E135,E128,E123,E118,E105))</f>
        <v>#VALUE!</v>
      </c>
      <c r="F139" s="89"/>
      <c r="G139" s="205"/>
      <c r="H139" s="823">
        <f>IF(H105="Not Complete",AVERAGE(H135,H128,H123,H118),AVERAGE(H135,H128,H123,H118,H105))</f>
        <v>0</v>
      </c>
      <c r="I139" s="734"/>
    </row>
    <row r="140" spans="1:9" ht="13.5" thickBot="1">
      <c r="A140" s="723"/>
      <c r="B140" s="739"/>
      <c r="C140" s="739"/>
      <c r="D140" s="739"/>
      <c r="E140" s="739"/>
      <c r="F140" s="739"/>
      <c r="G140" s="739"/>
      <c r="H140" s="739"/>
      <c r="I140" s="723"/>
    </row>
  </sheetData>
  <sheetProtection/>
  <mergeCells count="15">
    <mergeCell ref="A1:I1"/>
    <mergeCell ref="G2:H2"/>
    <mergeCell ref="B8:C8"/>
    <mergeCell ref="B40:H40"/>
    <mergeCell ref="C63:C64"/>
    <mergeCell ref="B105:C105"/>
    <mergeCell ref="B33:C33"/>
    <mergeCell ref="E96:H96"/>
    <mergeCell ref="E104:H104"/>
    <mergeCell ref="B110:H111"/>
    <mergeCell ref="B128:C128"/>
    <mergeCell ref="B135:C135"/>
    <mergeCell ref="B118:C118"/>
    <mergeCell ref="B123:C123"/>
    <mergeCell ref="A108:I108"/>
  </mergeCells>
  <conditionalFormatting sqref="E33">
    <cfRule type="expression" priority="1" dxfId="3" stopIfTrue="1">
      <formula>"if($E$31=""User-defined"")"</formula>
    </cfRule>
  </conditionalFormatting>
  <dataValidations count="2">
    <dataValidation type="list" allowBlank="1" showInputMessage="1" showErrorMessage="1" sqref="E31 H31">
      <formula1>$L$32:$L$33</formula1>
    </dataValidation>
    <dataValidation type="list" allowBlank="1" showInputMessage="1" showErrorMessage="1" sqref="H114 E114">
      <formula1>$K$112:$K$114</formula1>
    </dataValidation>
  </dataValidations>
  <printOptions horizontalCentered="1"/>
  <pageMargins left="0.75" right="0.75" top="0.75" bottom="0.75" header="0.5" footer="0.5"/>
  <pageSetup horizontalDpi="300" verticalDpi="300" orientation="portrait" r:id="rId4"/>
  <headerFooter alignWithMargins="0">
    <oddFooter>&amp;LLife Insurance Estimator&amp;R&amp;P</oddFooter>
  </headerFooter>
  <ignoredErrors>
    <ignoredError sqref="E103 H103 E98:E99 H88:H89 F51:G90 E88:E89 E85:E86 H97:H99 E75:E78 F105:G105 H62:H63 E56 H66:H68 H85:H86 E81 E62:E63 E66:E68 H56 H76:H78 H81 F50:G50 E70:E71 E52:E54 H52:H54 H70:H71 E95 E83 H83 H95 F93:G95 F97:G103" unlockedFormula="1"/>
  </ignoredErrors>
  <drawing r:id="rId3"/>
  <legacyDrawing r:id="rId2"/>
</worksheet>
</file>

<file path=xl/worksheets/sheet13.xml><?xml version="1.0" encoding="utf-8"?>
<worksheet xmlns="http://schemas.openxmlformats.org/spreadsheetml/2006/main" xmlns:r="http://schemas.openxmlformats.org/officeDocument/2006/relationships">
  <sheetPr codeName="Sheet16">
    <tabColor indexed="12"/>
  </sheetPr>
  <dimension ref="A1:M107"/>
  <sheetViews>
    <sheetView zoomScalePageLayoutView="0" workbookViewId="0" topLeftCell="A1">
      <selection activeCell="E4" sqref="E4"/>
    </sheetView>
  </sheetViews>
  <sheetFormatPr defaultColWidth="9.140625" defaultRowHeight="12.75"/>
  <cols>
    <col min="1" max="1" width="3.7109375" style="11" customWidth="1"/>
    <col min="2" max="3" width="17.7109375" style="11" customWidth="1"/>
    <col min="4" max="4" width="3.7109375" style="956" customWidth="1"/>
    <col min="5" max="5" width="12.7109375" style="11" customWidth="1"/>
    <col min="6" max="6" width="2.7109375" style="677" customWidth="1"/>
    <col min="7" max="7" width="12.7109375" style="11" customWidth="1"/>
    <col min="8" max="8" width="2.7109375" style="11" customWidth="1"/>
    <col min="9" max="9" width="12.7109375" style="11" customWidth="1"/>
    <col min="10" max="10" width="3.7109375" style="11" customWidth="1"/>
    <col min="11" max="16384" width="9.140625" style="11" customWidth="1"/>
  </cols>
  <sheetData>
    <row r="1" spans="1:10" ht="13.5" thickBot="1">
      <c r="A1" s="1240" t="s">
        <v>673</v>
      </c>
      <c r="B1" s="1241"/>
      <c r="C1" s="1241"/>
      <c r="D1" s="1241"/>
      <c r="E1" s="1241"/>
      <c r="F1" s="1241"/>
      <c r="G1" s="1241"/>
      <c r="H1" s="1241"/>
      <c r="I1" s="1241"/>
      <c r="J1" s="1242"/>
    </row>
    <row r="2" spans="1:10" ht="12.75">
      <c r="A2" s="388"/>
      <c r="B2" s="10"/>
      <c r="C2" s="205"/>
      <c r="D2" s="205"/>
      <c r="E2" s="55" t="s">
        <v>219</v>
      </c>
      <c r="F2" s="55"/>
      <c r="G2" s="55" t="s">
        <v>220</v>
      </c>
      <c r="H2" s="205"/>
      <c r="I2" s="205"/>
      <c r="J2" s="836"/>
    </row>
    <row r="3" spans="1:10" ht="12.75">
      <c r="A3" s="273"/>
      <c r="B3" s="251" t="s">
        <v>585</v>
      </c>
      <c r="C3" s="205"/>
      <c r="D3" s="205"/>
      <c r="E3" s="55"/>
      <c r="F3" s="55"/>
      <c r="G3" s="55"/>
      <c r="H3" s="205"/>
      <c r="I3" s="205"/>
      <c r="J3" s="837"/>
    </row>
    <row r="4" spans="1:10" ht="12.75">
      <c r="A4" s="273"/>
      <c r="B4" s="838"/>
      <c r="C4" s="205"/>
      <c r="D4" s="205"/>
      <c r="E4" s="957" t="s">
        <v>844</v>
      </c>
      <c r="F4" s="205"/>
      <c r="G4" s="957"/>
      <c r="H4" s="205"/>
      <c r="I4" s="839"/>
      <c r="J4" s="840"/>
    </row>
    <row r="5" spans="1:10" ht="12.75">
      <c r="A5" s="273"/>
      <c r="B5" s="841"/>
      <c r="C5" s="693"/>
      <c r="D5" s="693"/>
      <c r="E5" s="842"/>
      <c r="F5" s="693"/>
      <c r="G5" s="842"/>
      <c r="H5" s="693"/>
      <c r="I5" s="843"/>
      <c r="J5" s="840"/>
    </row>
    <row r="6" spans="1:10" ht="12.75">
      <c r="A6" s="273"/>
      <c r="B6" s="251" t="s">
        <v>588</v>
      </c>
      <c r="C6" s="205"/>
      <c r="D6" s="205"/>
      <c r="E6" s="207"/>
      <c r="F6" s="207"/>
      <c r="G6" s="207"/>
      <c r="H6" s="205"/>
      <c r="I6" s="205"/>
      <c r="J6" s="840"/>
    </row>
    <row r="7" spans="1:10" ht="12.75">
      <c r="A7" s="273"/>
      <c r="B7" s="838"/>
      <c r="C7" s="205"/>
      <c r="D7" s="205"/>
      <c r="E7" s="958"/>
      <c r="F7" s="205"/>
      <c r="G7" s="958"/>
      <c r="H7" s="205"/>
      <c r="I7" s="839"/>
      <c r="J7" s="840"/>
    </row>
    <row r="8" spans="1:10" ht="12.75">
      <c r="A8" s="273"/>
      <c r="B8" s="844">
        <f>IF(OR(AND(E4&lt;12,E7="Yes"),(AND(G4&lt;12,G7="Yes"))),"Be careful, Social Secuity qualification assumes total disability that will last 12 months or longer.","")</f>
      </c>
      <c r="C8" s="695"/>
      <c r="D8" s="695"/>
      <c r="E8" s="695"/>
      <c r="F8" s="695"/>
      <c r="G8" s="695"/>
      <c r="H8" s="695"/>
      <c r="I8" s="845"/>
      <c r="J8" s="840"/>
    </row>
    <row r="9" spans="1:10" ht="12.75">
      <c r="A9" s="349"/>
      <c r="B9" s="10" t="s">
        <v>422</v>
      </c>
      <c r="C9" s="75"/>
      <c r="D9" s="70"/>
      <c r="E9" s="79"/>
      <c r="F9" s="70"/>
      <c r="G9" s="79"/>
      <c r="H9" s="10"/>
      <c r="I9" s="10"/>
      <c r="J9" s="840"/>
    </row>
    <row r="10" spans="1:10" ht="12.75">
      <c r="A10" s="349"/>
      <c r="B10" s="10"/>
      <c r="C10" s="57" t="s">
        <v>419</v>
      </c>
      <c r="D10" s="70" t="s">
        <v>119</v>
      </c>
      <c r="E10" s="603"/>
      <c r="F10" s="46"/>
      <c r="G10" s="603"/>
      <c r="H10" s="10"/>
      <c r="I10" s="10"/>
      <c r="J10" s="840"/>
    </row>
    <row r="11" spans="1:10" ht="12.75">
      <c r="A11" s="349"/>
      <c r="B11" s="8"/>
      <c r="C11" s="57" t="s">
        <v>420</v>
      </c>
      <c r="D11" s="70" t="s">
        <v>119</v>
      </c>
      <c r="E11" s="959"/>
      <c r="F11" s="846"/>
      <c r="G11" s="959"/>
      <c r="H11" s="10"/>
      <c r="I11" s="27"/>
      <c r="J11" s="840"/>
    </row>
    <row r="12" spans="1:10" ht="12.75">
      <c r="A12" s="349"/>
      <c r="B12" s="847"/>
      <c r="C12" s="848" t="s">
        <v>244</v>
      </c>
      <c r="D12" s="849" t="s">
        <v>119</v>
      </c>
      <c r="E12" s="850" t="str">
        <f>IF(E7="Yes",6,"N/A")</f>
        <v>N/A</v>
      </c>
      <c r="F12" s="851"/>
      <c r="G12" s="850" t="str">
        <f>IF(G7="Yes",6,"N/A")</f>
        <v>N/A</v>
      </c>
      <c r="H12" s="83"/>
      <c r="I12" s="103"/>
      <c r="J12" s="840"/>
    </row>
    <row r="13" spans="1:10" ht="12.75">
      <c r="A13" s="349"/>
      <c r="B13" s="10" t="s">
        <v>421</v>
      </c>
      <c r="C13" s="75"/>
      <c r="D13" s="70"/>
      <c r="E13" s="79"/>
      <c r="F13" s="70"/>
      <c r="G13" s="79"/>
      <c r="H13" s="10"/>
      <c r="I13" s="10"/>
      <c r="J13" s="840"/>
    </row>
    <row r="14" spans="1:10" ht="12.75">
      <c r="A14" s="349"/>
      <c r="B14" s="10"/>
      <c r="C14" s="57" t="s">
        <v>419</v>
      </c>
      <c r="D14" s="70" t="s">
        <v>119</v>
      </c>
      <c r="E14" s="603"/>
      <c r="F14" s="46"/>
      <c r="G14" s="603"/>
      <c r="H14" s="10"/>
      <c r="I14" s="852"/>
      <c r="J14" s="840"/>
    </row>
    <row r="15" spans="1:10" ht="12.75">
      <c r="A15" s="349"/>
      <c r="B15" s="8"/>
      <c r="C15" s="57" t="s">
        <v>420</v>
      </c>
      <c r="D15" s="70" t="s">
        <v>119</v>
      </c>
      <c r="E15" s="603"/>
      <c r="F15" s="846"/>
      <c r="G15" s="603"/>
      <c r="H15" s="10"/>
      <c r="I15" s="27"/>
      <c r="J15" s="840"/>
    </row>
    <row r="16" spans="1:10" ht="13.5" thickBot="1">
      <c r="A16" s="349"/>
      <c r="B16" s="40"/>
      <c r="C16" s="92" t="s">
        <v>244</v>
      </c>
      <c r="D16" s="853" t="s">
        <v>119</v>
      </c>
      <c r="E16" s="854" t="str">
        <f>IF(E7="Yes","Permanent","N/A")</f>
        <v>N/A</v>
      </c>
      <c r="F16" s="855"/>
      <c r="G16" s="854" t="str">
        <f>IF(G7="Yes","Permanent","N/A")</f>
        <v>N/A</v>
      </c>
      <c r="H16" s="41"/>
      <c r="I16" s="88"/>
      <c r="J16" s="840"/>
    </row>
    <row r="17" spans="1:10" ht="14.25" thickBot="1" thickTop="1">
      <c r="A17" s="349"/>
      <c r="B17" s="856" t="s">
        <v>248</v>
      </c>
      <c r="C17" s="57"/>
      <c r="D17" s="70"/>
      <c r="E17" s="846"/>
      <c r="F17" s="846"/>
      <c r="G17" s="846"/>
      <c r="H17" s="857" t="s">
        <v>589</v>
      </c>
      <c r="I17" s="960"/>
      <c r="J17" s="840"/>
    </row>
    <row r="18" spans="1:13" ht="12.75">
      <c r="A18" s="349"/>
      <c r="B18" s="10"/>
      <c r="C18" s="57" t="s">
        <v>285</v>
      </c>
      <c r="D18" s="101"/>
      <c r="E18" s="57" t="s">
        <v>286</v>
      </c>
      <c r="F18" s="858"/>
      <c r="G18" s="70" t="s">
        <v>71</v>
      </c>
      <c r="H18" s="10"/>
      <c r="I18" s="595"/>
      <c r="J18" s="840"/>
      <c r="M18" s="11" t="s">
        <v>314</v>
      </c>
    </row>
    <row r="19" spans="1:13" ht="12.75">
      <c r="A19" s="349"/>
      <c r="B19" s="8"/>
      <c r="C19" s="14">
        <f>IF(I17="Yes",'Dedicated Exp'!H52/12,(('Dedicated Exp'!H31+'Dedicated Exp'!H40)/12))</f>
        <v>0</v>
      </c>
      <c r="D19" s="70" t="s">
        <v>121</v>
      </c>
      <c r="E19" s="14">
        <f>'Discretionary Exp'!G71/12</f>
        <v>0</v>
      </c>
      <c r="F19" s="70" t="s">
        <v>119</v>
      </c>
      <c r="G19" s="14">
        <f>IF(I17="",0,E19+C19)</f>
        <v>0</v>
      </c>
      <c r="H19" s="10"/>
      <c r="I19" s="27"/>
      <c r="J19" s="840"/>
      <c r="M19" s="11" t="s">
        <v>116</v>
      </c>
    </row>
    <row r="20" spans="1:10" ht="3" customHeight="1">
      <c r="A20" s="349"/>
      <c r="B20" s="10"/>
      <c r="C20" s="859" t="str">
        <f>IF(I17="","Please answer savings question in cell I8","")</f>
        <v>Please answer savings question in cell I8</v>
      </c>
      <c r="D20" s="70"/>
      <c r="E20" s="846"/>
      <c r="F20" s="846"/>
      <c r="G20" s="846"/>
      <c r="H20" s="10"/>
      <c r="I20" s="27"/>
      <c r="J20" s="840"/>
    </row>
    <row r="21" spans="1:10" ht="12.75">
      <c r="A21" s="349"/>
      <c r="B21" s="1378" t="s">
        <v>581</v>
      </c>
      <c r="C21" s="1379"/>
      <c r="D21" s="1379"/>
      <c r="E21" s="1379"/>
      <c r="F21" s="1379"/>
      <c r="G21" s="1379"/>
      <c r="H21" s="1379"/>
      <c r="I21" s="1399"/>
      <c r="J21" s="840"/>
    </row>
    <row r="22" spans="1:10" ht="12.75" customHeight="1">
      <c r="A22" s="349"/>
      <c r="B22" s="860"/>
      <c r="C22" s="10"/>
      <c r="D22" s="70"/>
      <c r="E22" s="861" t="s">
        <v>219</v>
      </c>
      <c r="F22" s="862"/>
      <c r="G22" s="861" t="s">
        <v>220</v>
      </c>
      <c r="H22" s="861"/>
      <c r="I22" s="863" t="s">
        <v>92</v>
      </c>
      <c r="J22" s="864"/>
    </row>
    <row r="23" spans="1:10" ht="12.75">
      <c r="A23" s="349"/>
      <c r="B23" s="860"/>
      <c r="C23" s="57" t="s">
        <v>221</v>
      </c>
      <c r="D23" s="70"/>
      <c r="E23" s="865">
        <f>'Inc Stmt'!F8/12</f>
        <v>0</v>
      </c>
      <c r="F23" s="866"/>
      <c r="G23" s="865">
        <f>'Inc Stmt'!G8/12</f>
        <v>0</v>
      </c>
      <c r="H23" s="867"/>
      <c r="I23" s="868">
        <f>E23+G23</f>
        <v>0</v>
      </c>
      <c r="J23" s="864"/>
    </row>
    <row r="24" spans="1:10" ht="12.75">
      <c r="A24" s="349"/>
      <c r="B24" s="860"/>
      <c r="C24" s="57" t="s">
        <v>222</v>
      </c>
      <c r="D24" s="849" t="s">
        <v>121</v>
      </c>
      <c r="E24" s="869">
        <f>'Inc Stmt'!F19/12</f>
        <v>0</v>
      </c>
      <c r="F24" s="866"/>
      <c r="G24" s="869">
        <f>'Inc Stmt'!G19/12</f>
        <v>0</v>
      </c>
      <c r="H24" s="867"/>
      <c r="I24" s="870">
        <f>E24+G24</f>
        <v>0</v>
      </c>
      <c r="J24" s="864"/>
    </row>
    <row r="25" spans="1:10" ht="12.75">
      <c r="A25" s="349"/>
      <c r="B25" s="10"/>
      <c r="C25" s="57" t="s">
        <v>249</v>
      </c>
      <c r="D25" s="70" t="s">
        <v>119</v>
      </c>
      <c r="E25" s="865">
        <f>SUM(E23:E24)</f>
        <v>0</v>
      </c>
      <c r="F25" s="866"/>
      <c r="G25" s="865">
        <f>SUM(G23:G24)</f>
        <v>0</v>
      </c>
      <c r="H25" s="867"/>
      <c r="I25" s="868">
        <f>E25+G25</f>
        <v>0</v>
      </c>
      <c r="J25" s="864"/>
    </row>
    <row r="26" spans="1:10" ht="12.75">
      <c r="A26" s="349"/>
      <c r="B26" s="847"/>
      <c r="C26" s="708" t="s">
        <v>619</v>
      </c>
      <c r="D26" s="871" t="s">
        <v>119</v>
      </c>
      <c r="E26" s="872">
        <f>IF(I25=0,0,(I26/I25)*E25)</f>
        <v>0</v>
      </c>
      <c r="F26" s="873"/>
      <c r="G26" s="872">
        <f>IF(I25=0,0,(I26/I25)*G25)</f>
        <v>0</v>
      </c>
      <c r="H26" s="874"/>
      <c r="I26" s="875">
        <f>IF(I25=0,0,I25-(('Inc Tax Estimator'!E24+'Inc Tax Estimator'!G33+'Inc Tax Estimator'!E48)/12))</f>
        <v>0</v>
      </c>
      <c r="J26" s="27"/>
    </row>
    <row r="27" spans="1:10" ht="12.75">
      <c r="A27" s="349"/>
      <c r="B27" s="1403" t="s">
        <v>433</v>
      </c>
      <c r="C27" s="1404"/>
      <c r="D27" s="876" t="s">
        <v>119</v>
      </c>
      <c r="E27" s="877" t="str">
        <f>IF(G19=0,"N/A",E26/G19)</f>
        <v>N/A</v>
      </c>
      <c r="F27" s="878"/>
      <c r="G27" s="877" t="str">
        <f>IF(G19=0,"N/A",G26/G19)</f>
        <v>N/A</v>
      </c>
      <c r="H27" s="877"/>
      <c r="I27" s="879" t="str">
        <f>IF(G19=0,"N/A",I26/G19)</f>
        <v>N/A</v>
      </c>
      <c r="J27" s="27"/>
    </row>
    <row r="28" spans="1:10" ht="12.75" customHeight="1" thickBot="1">
      <c r="A28" s="349"/>
      <c r="B28" s="411"/>
      <c r="C28" s="880"/>
      <c r="D28" s="881"/>
      <c r="E28" s="882"/>
      <c r="F28" s="883"/>
      <c r="G28" s="882"/>
      <c r="H28" s="884"/>
      <c r="I28" s="885"/>
      <c r="J28" s="27"/>
    </row>
    <row r="29" spans="1:10" ht="39" thickBot="1">
      <c r="A29" s="349"/>
      <c r="B29" s="1401" t="s">
        <v>436</v>
      </c>
      <c r="C29" s="1402"/>
      <c r="D29" s="886" t="str">
        <f>"=&gt;"</f>
        <v>=&gt;</v>
      </c>
      <c r="E29" s="887" t="s">
        <v>624</v>
      </c>
      <c r="F29" s="888"/>
      <c r="G29" s="887" t="s">
        <v>625</v>
      </c>
      <c r="H29" s="889"/>
      <c r="I29" s="890" t="s">
        <v>626</v>
      </c>
      <c r="J29" s="349"/>
    </row>
    <row r="30" spans="1:10" ht="12.75">
      <c r="A30" s="349"/>
      <c r="B30" s="1286" t="s">
        <v>245</v>
      </c>
      <c r="C30" s="1287"/>
      <c r="D30" s="1287"/>
      <c r="E30" s="1287"/>
      <c r="F30" s="1287"/>
      <c r="G30" s="1287"/>
      <c r="H30" s="1287"/>
      <c r="I30" s="1400"/>
      <c r="J30" s="349"/>
    </row>
    <row r="31" spans="1:10" ht="12.75">
      <c r="A31" s="349"/>
      <c r="B31" s="236"/>
      <c r="C31" s="236"/>
      <c r="D31" s="236"/>
      <c r="E31" s="861" t="s">
        <v>219</v>
      </c>
      <c r="F31" s="70"/>
      <c r="G31" s="861" t="s">
        <v>220</v>
      </c>
      <c r="H31" s="70"/>
      <c r="I31" s="863" t="s">
        <v>630</v>
      </c>
      <c r="J31" s="27"/>
    </row>
    <row r="32" spans="1:10" ht="12.75">
      <c r="A32" s="349"/>
      <c r="B32" s="10"/>
      <c r="C32" s="58" t="s">
        <v>618</v>
      </c>
      <c r="D32" s="70"/>
      <c r="E32" s="891">
        <f>IF(E25=0,G26,G26+(E24*(E26/E25)))</f>
        <v>0</v>
      </c>
      <c r="F32" s="846"/>
      <c r="G32" s="891">
        <f>IF(G25=0,E26,E26+(G24*(G26/G25)))</f>
        <v>0</v>
      </c>
      <c r="H32" s="70"/>
      <c r="I32" s="892">
        <f>IF(I24=0,0,I24*(I26/I25))</f>
        <v>0</v>
      </c>
      <c r="J32" s="27"/>
    </row>
    <row r="33" spans="1:10" ht="12.75">
      <c r="A33" s="349"/>
      <c r="B33" s="10"/>
      <c r="C33" s="57" t="s">
        <v>620</v>
      </c>
      <c r="D33" s="849" t="s">
        <v>121</v>
      </c>
      <c r="E33" s="613"/>
      <c r="F33" s="893"/>
      <c r="G33" s="613"/>
      <c r="H33" s="10"/>
      <c r="I33" s="894">
        <f>E33+G33</f>
        <v>0</v>
      </c>
      <c r="J33" s="27"/>
    </row>
    <row r="34" spans="1:10" ht="12.75">
      <c r="A34" s="349"/>
      <c r="B34" s="10"/>
      <c r="C34" s="57" t="s">
        <v>71</v>
      </c>
      <c r="D34" s="70" t="s">
        <v>119</v>
      </c>
      <c r="E34" s="865">
        <f>E32+E33</f>
        <v>0</v>
      </c>
      <c r="F34" s="101"/>
      <c r="G34" s="865">
        <f>G32+G33</f>
        <v>0</v>
      </c>
      <c r="H34" s="10"/>
      <c r="I34" s="868">
        <f>I32+I33</f>
        <v>0</v>
      </c>
      <c r="J34" s="27"/>
    </row>
    <row r="35" spans="1:10" ht="13.5" thickBot="1">
      <c r="A35" s="246"/>
      <c r="B35" s="411"/>
      <c r="C35" s="880"/>
      <c r="D35" s="881"/>
      <c r="E35" s="882"/>
      <c r="F35" s="883"/>
      <c r="G35" s="882"/>
      <c r="H35" s="884"/>
      <c r="I35" s="885"/>
      <c r="J35" s="33"/>
    </row>
    <row r="36" spans="1:10" ht="13.5" thickBot="1">
      <c r="A36" s="1266" t="s">
        <v>377</v>
      </c>
      <c r="B36" s="1267"/>
      <c r="C36" s="1267"/>
      <c r="D36" s="1267"/>
      <c r="E36" s="1267"/>
      <c r="F36" s="1267"/>
      <c r="G36" s="1267"/>
      <c r="H36" s="1267"/>
      <c r="I36" s="1267"/>
      <c r="J36" s="1268"/>
    </row>
    <row r="37" spans="1:10" ht="13.5" thickTop="1">
      <c r="A37" s="349"/>
      <c r="B37" s="895" t="s">
        <v>372</v>
      </c>
      <c r="C37" s="896"/>
      <c r="D37" s="1390" t="str">
        <f>IF(E10="","Please enter elimination period above","")</f>
        <v>Please enter elimination period above</v>
      </c>
      <c r="E37" s="1390"/>
      <c r="F37" s="1390"/>
      <c r="G37" s="1390"/>
      <c r="H37" s="1390"/>
      <c r="I37" s="1391"/>
      <c r="J37" s="349"/>
    </row>
    <row r="38" spans="1:10" ht="25.5">
      <c r="A38" s="349"/>
      <c r="B38" s="1392"/>
      <c r="C38" s="1393"/>
      <c r="D38" s="70"/>
      <c r="E38" s="897" t="s">
        <v>336</v>
      </c>
      <c r="F38" s="898"/>
      <c r="G38" s="897" t="s">
        <v>337</v>
      </c>
      <c r="H38" s="899"/>
      <c r="I38" s="900" t="s">
        <v>627</v>
      </c>
      <c r="J38" s="349"/>
    </row>
    <row r="39" spans="1:10" ht="12.75">
      <c r="A39" s="349"/>
      <c r="B39" s="10"/>
      <c r="C39" s="57" t="s">
        <v>374</v>
      </c>
      <c r="D39" s="70"/>
      <c r="E39" s="865">
        <f>E34</f>
        <v>0</v>
      </c>
      <c r="F39" s="866"/>
      <c r="G39" s="865">
        <f>G34</f>
        <v>0</v>
      </c>
      <c r="H39" s="901"/>
      <c r="I39" s="868">
        <f>I34</f>
        <v>0</v>
      </c>
      <c r="J39" s="349"/>
    </row>
    <row r="40" spans="1:10" ht="12.75">
      <c r="A40" s="349"/>
      <c r="B40" s="10"/>
      <c r="C40" s="57" t="s">
        <v>375</v>
      </c>
      <c r="D40" s="849" t="s">
        <v>120</v>
      </c>
      <c r="E40" s="869">
        <f>G19</f>
        <v>0</v>
      </c>
      <c r="F40" s="866"/>
      <c r="G40" s="869">
        <f>G19</f>
        <v>0</v>
      </c>
      <c r="H40" s="901"/>
      <c r="I40" s="870">
        <f>G19</f>
        <v>0</v>
      </c>
      <c r="J40" s="349"/>
    </row>
    <row r="41" spans="1:10" ht="12.75">
      <c r="A41" s="349"/>
      <c r="B41" s="10"/>
      <c r="C41" s="57" t="s">
        <v>373</v>
      </c>
      <c r="D41" s="70" t="s">
        <v>119</v>
      </c>
      <c r="E41" s="865">
        <f>E39-E40</f>
        <v>0</v>
      </c>
      <c r="F41" s="866"/>
      <c r="G41" s="865">
        <f>G39-G40</f>
        <v>0</v>
      </c>
      <c r="H41" s="901"/>
      <c r="I41" s="14">
        <f>I39-I40</f>
        <v>0</v>
      </c>
      <c r="J41" s="349"/>
    </row>
    <row r="42" spans="1:10" ht="12.75">
      <c r="A42" s="349"/>
      <c r="B42" s="1397" t="s">
        <v>586</v>
      </c>
      <c r="C42" s="1398"/>
      <c r="D42" s="55" t="s">
        <v>119</v>
      </c>
      <c r="E42" s="902">
        <f>E41*E10</f>
        <v>0</v>
      </c>
      <c r="F42" s="903"/>
      <c r="G42" s="904">
        <f>G41*G10</f>
        <v>0</v>
      </c>
      <c r="H42" s="905"/>
      <c r="I42" s="906">
        <f>I41*((E10+G10)/2)</f>
        <v>0</v>
      </c>
      <c r="J42" s="349"/>
    </row>
    <row r="43" spans="1:10" ht="3" customHeight="1" thickBot="1">
      <c r="A43" s="349"/>
      <c r="B43" s="1394" t="str">
        <f>IF(OR(E10="",G10=""),"No short-term elimination period selected, enter information above or skip to long-term.","")</f>
        <v>No short-term elimination period selected, enter information above or skip to long-term.</v>
      </c>
      <c r="C43" s="1395"/>
      <c r="D43" s="1395"/>
      <c r="E43" s="1395"/>
      <c r="F43" s="1395"/>
      <c r="G43" s="1395"/>
      <c r="H43" s="1395"/>
      <c r="I43" s="1396"/>
      <c r="J43" s="349"/>
    </row>
    <row r="44" spans="1:10" ht="13.5" thickTop="1">
      <c r="A44" s="349"/>
      <c r="B44" s="907" t="s">
        <v>376</v>
      </c>
      <c r="C44" s="908"/>
      <c r="D44" s="909"/>
      <c r="E44" s="909"/>
      <c r="F44" s="910"/>
      <c r="G44" s="909"/>
      <c r="H44" s="909"/>
      <c r="I44" s="911"/>
      <c r="J44" s="349"/>
    </row>
    <row r="45" spans="1:10" ht="12.75">
      <c r="A45" s="349"/>
      <c r="B45" s="10"/>
      <c r="C45" s="57" t="s">
        <v>431</v>
      </c>
      <c r="D45" s="70"/>
      <c r="E45" s="613"/>
      <c r="F45" s="866"/>
      <c r="G45" s="613"/>
      <c r="H45" s="901"/>
      <c r="I45" s="912">
        <f>SUM(E45:G45)</f>
        <v>0</v>
      </c>
      <c r="J45" s="349"/>
    </row>
    <row r="46" spans="1:10" ht="12.75">
      <c r="A46" s="349"/>
      <c r="B46" s="10"/>
      <c r="C46" s="57" t="s">
        <v>583</v>
      </c>
      <c r="D46" s="849" t="s">
        <v>121</v>
      </c>
      <c r="E46" s="613"/>
      <c r="F46" s="866"/>
      <c r="G46" s="613"/>
      <c r="H46" s="901"/>
      <c r="I46" s="870">
        <f>SUM(E46:G46)</f>
        <v>0</v>
      </c>
      <c r="J46" s="349"/>
    </row>
    <row r="47" spans="1:10" ht="12.75">
      <c r="A47" s="349"/>
      <c r="B47" s="236" t="s">
        <v>246</v>
      </c>
      <c r="C47" s="10"/>
      <c r="D47" s="70" t="s">
        <v>119</v>
      </c>
      <c r="E47" s="913">
        <f>SUM(E45:E46)</f>
        <v>0</v>
      </c>
      <c r="F47" s="866"/>
      <c r="G47" s="865">
        <f>SUM(G45:G46)</f>
        <v>0</v>
      </c>
      <c r="H47" s="901"/>
      <c r="I47" s="868">
        <f>SUM(I45:I46)</f>
        <v>0</v>
      </c>
      <c r="J47" s="349"/>
    </row>
    <row r="48" spans="1:10" ht="12.75">
      <c r="A48" s="349"/>
      <c r="B48" s="10"/>
      <c r="C48" s="57" t="s">
        <v>432</v>
      </c>
      <c r="D48" s="70"/>
      <c r="E48" s="613"/>
      <c r="F48" s="866"/>
      <c r="G48" s="613"/>
      <c r="H48" s="901"/>
      <c r="I48" s="912">
        <f>SUM(E48:G48)</f>
        <v>0</v>
      </c>
      <c r="J48" s="349"/>
    </row>
    <row r="49" spans="1:10" ht="12.75">
      <c r="A49" s="349"/>
      <c r="B49" s="10"/>
      <c r="C49" s="57" t="s">
        <v>584</v>
      </c>
      <c r="D49" s="70"/>
      <c r="E49" s="613"/>
      <c r="F49" s="866"/>
      <c r="G49" s="613"/>
      <c r="H49" s="901"/>
      <c r="I49" s="868">
        <f>SUM(E49:G49)</f>
        <v>0</v>
      </c>
      <c r="J49" s="349"/>
    </row>
    <row r="50" spans="1:13" ht="12.75">
      <c r="A50" s="349"/>
      <c r="B50" s="10"/>
      <c r="C50" s="57" t="s">
        <v>250</v>
      </c>
      <c r="D50" s="849" t="s">
        <v>121</v>
      </c>
      <c r="E50" s="613"/>
      <c r="F50" s="866"/>
      <c r="G50" s="613"/>
      <c r="H50" s="901"/>
      <c r="I50" s="870">
        <f>SUM(E50:G50)</f>
        <v>0</v>
      </c>
      <c r="J50" s="349"/>
      <c r="K50" s="914"/>
      <c r="L50" s="914"/>
      <c r="M50" s="914"/>
    </row>
    <row r="51" spans="1:13" ht="12.75">
      <c r="A51" s="349"/>
      <c r="B51" s="236" t="s">
        <v>247</v>
      </c>
      <c r="C51" s="10"/>
      <c r="D51" s="70" t="s">
        <v>119</v>
      </c>
      <c r="E51" s="865">
        <f>SUM(E48:E50)</f>
        <v>0</v>
      </c>
      <c r="F51" s="866"/>
      <c r="G51" s="865">
        <f>SUM(G48:G50)</f>
        <v>0</v>
      </c>
      <c r="H51" s="901"/>
      <c r="I51" s="868">
        <f>SUM(I48:I50)</f>
        <v>0</v>
      </c>
      <c r="J51" s="349"/>
      <c r="K51" s="914"/>
      <c r="L51" s="914"/>
      <c r="M51" s="914"/>
    </row>
    <row r="52" spans="1:13" ht="3" customHeight="1" thickBot="1">
      <c r="A52" s="349"/>
      <c r="B52" s="1394" t="str">
        <f>IF(OR(E14="",G14=""),"No short-term benefit period selected, enter information above or skip to long-term.","")</f>
        <v>No short-term benefit period selected, enter information above or skip to long-term.</v>
      </c>
      <c r="C52" s="1395"/>
      <c r="D52" s="1395"/>
      <c r="E52" s="1395"/>
      <c r="F52" s="1395"/>
      <c r="G52" s="1395"/>
      <c r="H52" s="1395"/>
      <c r="I52" s="1396"/>
      <c r="J52" s="349"/>
      <c r="K52" s="914"/>
      <c r="L52" s="914"/>
      <c r="M52" s="914"/>
    </row>
    <row r="53" spans="1:13" ht="13.5" thickTop="1">
      <c r="A53" s="349"/>
      <c r="B53" s="1386" t="s">
        <v>665</v>
      </c>
      <c r="C53" s="1387"/>
      <c r="D53" s="1387"/>
      <c r="E53" s="1387"/>
      <c r="F53" s="1387"/>
      <c r="G53" s="1387"/>
      <c r="H53" s="909"/>
      <c r="I53" s="911"/>
      <c r="J53" s="349"/>
      <c r="K53" s="914"/>
      <c r="L53" s="914"/>
      <c r="M53" s="914"/>
    </row>
    <row r="54" spans="1:10" ht="12.75">
      <c r="A54" s="349"/>
      <c r="B54" s="10"/>
      <c r="C54" s="57" t="s">
        <v>662</v>
      </c>
      <c r="D54" s="70"/>
      <c r="E54" s="865">
        <f>IF(E51=0,0,E51*'Inc Tax Estimator'!I19)</f>
        <v>0</v>
      </c>
      <c r="F54" s="866"/>
      <c r="G54" s="865">
        <f>IF(G51=0,0,G51*'Inc Tax Estimator'!I19)</f>
        <v>0</v>
      </c>
      <c r="H54" s="867"/>
      <c r="I54" s="868">
        <f>E54+G54</f>
        <v>0</v>
      </c>
      <c r="J54" s="27"/>
    </row>
    <row r="55" spans="1:10" ht="12.75">
      <c r="A55" s="349"/>
      <c r="B55" s="10"/>
      <c r="C55" s="57" t="s">
        <v>663</v>
      </c>
      <c r="D55" s="70" t="s">
        <v>121</v>
      </c>
      <c r="E55" s="865">
        <f>E51*'Inc Tax Estimator'!H37</f>
        <v>0</v>
      </c>
      <c r="F55" s="866"/>
      <c r="G55" s="865">
        <f>G51*'Inc Tax Estimator'!H37</f>
        <v>0</v>
      </c>
      <c r="H55" s="867"/>
      <c r="I55" s="868">
        <f>E55+G55</f>
        <v>0</v>
      </c>
      <c r="J55" s="27"/>
    </row>
    <row r="56" spans="1:10" ht="12.75">
      <c r="A56" s="349"/>
      <c r="B56" s="10"/>
      <c r="C56" s="57" t="s">
        <v>664</v>
      </c>
      <c r="D56" s="849" t="s">
        <v>121</v>
      </c>
      <c r="E56" s="869">
        <f>IF(E51&gt;'Income Tax Sch'!$H$21,('Disability Ins Estimator'!E51*0.0145+'Income Tax Sch'!$H$21*0.062),'Disability Ins Estimator'!E51*0.0765)</f>
        <v>0</v>
      </c>
      <c r="F56" s="866"/>
      <c r="G56" s="869">
        <f>IF(G51&gt;'Income Tax Sch'!$H$21,('Disability Ins Estimator'!G51*0.0145+'Income Tax Sch'!$H$21*0.062),'Disability Ins Estimator'!G51*0.0765)</f>
        <v>0</v>
      </c>
      <c r="H56" s="867"/>
      <c r="I56" s="870">
        <f>E56+G56</f>
        <v>0</v>
      </c>
      <c r="J56" s="27"/>
    </row>
    <row r="57" spans="1:10" ht="12.75" customHeight="1">
      <c r="A57" s="349"/>
      <c r="B57" s="10"/>
      <c r="C57" s="57" t="s">
        <v>71</v>
      </c>
      <c r="D57" s="70" t="s">
        <v>119</v>
      </c>
      <c r="E57" s="865">
        <f>SUM(E54:E56)</f>
        <v>0</v>
      </c>
      <c r="F57" s="866"/>
      <c r="G57" s="865">
        <f>SUM(G54:G56)</f>
        <v>0</v>
      </c>
      <c r="H57" s="867"/>
      <c r="I57" s="868">
        <f>SUM(I54:I56)</f>
        <v>0</v>
      </c>
      <c r="J57" s="27"/>
    </row>
    <row r="58" spans="1:10" ht="3" customHeight="1">
      <c r="A58" s="349"/>
      <c r="B58" s="10"/>
      <c r="C58" s="57"/>
      <c r="D58" s="70"/>
      <c r="E58" s="125"/>
      <c r="F58" s="866"/>
      <c r="G58" s="125"/>
      <c r="H58" s="867"/>
      <c r="I58" s="915"/>
      <c r="J58" s="27"/>
    </row>
    <row r="59" spans="1:10" ht="12.75" customHeight="1">
      <c r="A59" s="349"/>
      <c r="B59" s="1382" t="s">
        <v>629</v>
      </c>
      <c r="C59" s="1383"/>
      <c r="D59" s="916"/>
      <c r="E59" s="917" t="s">
        <v>219</v>
      </c>
      <c r="F59" s="862"/>
      <c r="G59" s="917" t="s">
        <v>220</v>
      </c>
      <c r="H59" s="867"/>
      <c r="I59" s="918" t="s">
        <v>630</v>
      </c>
      <c r="J59" s="27"/>
    </row>
    <row r="60" spans="1:10" ht="12.75" customHeight="1">
      <c r="A60" s="349"/>
      <c r="B60" s="1384" t="s">
        <v>3</v>
      </c>
      <c r="C60" s="1385"/>
      <c r="D60" s="849" t="s">
        <v>119</v>
      </c>
      <c r="E60" s="869">
        <f>E34+E47+E51-E57</f>
        <v>0</v>
      </c>
      <c r="F60" s="866"/>
      <c r="G60" s="869">
        <f>G34+G47+G51-G57</f>
        <v>0</v>
      </c>
      <c r="H60" s="867"/>
      <c r="I60" s="870">
        <f>I34+I47+I51-I57</f>
        <v>0</v>
      </c>
      <c r="J60" s="27"/>
    </row>
    <row r="61" spans="1:10" ht="12.75" customHeight="1">
      <c r="A61" s="349"/>
      <c r="B61" s="1388" t="s">
        <v>434</v>
      </c>
      <c r="C61" s="1389"/>
      <c r="D61" s="919" t="s">
        <v>119</v>
      </c>
      <c r="E61" s="920" t="str">
        <f>IF($G$19=0,"N/A",$E$60/$G$19)</f>
        <v>N/A</v>
      </c>
      <c r="F61" s="878"/>
      <c r="G61" s="920" t="str">
        <f>IF($G$19=0,"N/A",$G$60/$G$19)</f>
        <v>N/A</v>
      </c>
      <c r="H61" s="877"/>
      <c r="I61" s="921" t="str">
        <f>IF($G$19=0,"N/A",$I$60/$G$19)</f>
        <v>N/A</v>
      </c>
      <c r="J61" s="27"/>
    </row>
    <row r="62" spans="1:10" ht="12.75" customHeight="1" thickBot="1">
      <c r="A62" s="30"/>
      <c r="B62" s="411"/>
      <c r="C62" s="884"/>
      <c r="D62" s="881"/>
      <c r="E62" s="884"/>
      <c r="F62" s="922"/>
      <c r="G62" s="884"/>
      <c r="H62" s="884"/>
      <c r="I62" s="412"/>
      <c r="J62" s="33"/>
    </row>
    <row r="63" spans="1:10" ht="13.5" thickBot="1">
      <c r="A63" s="1266" t="s">
        <v>378</v>
      </c>
      <c r="B63" s="1267"/>
      <c r="C63" s="1267"/>
      <c r="D63" s="1267"/>
      <c r="E63" s="1267"/>
      <c r="F63" s="1267"/>
      <c r="G63" s="1267"/>
      <c r="H63" s="1267"/>
      <c r="I63" s="1267"/>
      <c r="J63" s="1268"/>
    </row>
    <row r="64" spans="1:10" ht="13.5" thickTop="1">
      <c r="A64" s="349"/>
      <c r="B64" s="895" t="s">
        <v>372</v>
      </c>
      <c r="C64" s="896"/>
      <c r="D64" s="1390" t="str">
        <f>IF(E10="","Please enter elimination period above","")</f>
        <v>Please enter elimination period above</v>
      </c>
      <c r="E64" s="1390"/>
      <c r="F64" s="1390"/>
      <c r="G64" s="1390"/>
      <c r="H64" s="1390"/>
      <c r="I64" s="1391"/>
      <c r="J64" s="349"/>
    </row>
    <row r="65" spans="1:10" ht="25.5">
      <c r="A65" s="349"/>
      <c r="B65" s="1392"/>
      <c r="C65" s="1393"/>
      <c r="D65" s="70"/>
      <c r="E65" s="897" t="s">
        <v>336</v>
      </c>
      <c r="F65" s="898"/>
      <c r="G65" s="897" t="s">
        <v>337</v>
      </c>
      <c r="H65" s="899"/>
      <c r="I65" s="900" t="s">
        <v>627</v>
      </c>
      <c r="J65" s="349"/>
    </row>
    <row r="66" spans="1:10" ht="12.75">
      <c r="A66" s="349"/>
      <c r="B66" s="10"/>
      <c r="C66" s="57" t="s">
        <v>374</v>
      </c>
      <c r="D66" s="70"/>
      <c r="E66" s="865">
        <f>E34</f>
        <v>0</v>
      </c>
      <c r="F66" s="866"/>
      <c r="G66" s="865">
        <f>G34</f>
        <v>0</v>
      </c>
      <c r="H66" s="901"/>
      <c r="I66" s="868">
        <f>I34</f>
        <v>0</v>
      </c>
      <c r="J66" s="349"/>
    </row>
    <row r="67" spans="1:10" ht="12.75">
      <c r="A67" s="349"/>
      <c r="B67" s="10"/>
      <c r="C67" s="57" t="s">
        <v>375</v>
      </c>
      <c r="D67" s="849" t="s">
        <v>120</v>
      </c>
      <c r="E67" s="869">
        <f>G19</f>
        <v>0</v>
      </c>
      <c r="F67" s="866"/>
      <c r="G67" s="869">
        <f>G19</f>
        <v>0</v>
      </c>
      <c r="H67" s="901"/>
      <c r="I67" s="870">
        <f>G19</f>
        <v>0</v>
      </c>
      <c r="J67" s="349"/>
    </row>
    <row r="68" spans="1:10" ht="12.75">
      <c r="A68" s="349"/>
      <c r="B68" s="10"/>
      <c r="C68" s="57" t="s">
        <v>373</v>
      </c>
      <c r="D68" s="70" t="s">
        <v>119</v>
      </c>
      <c r="E68" s="865">
        <f>E66-E67</f>
        <v>0</v>
      </c>
      <c r="F68" s="866"/>
      <c r="G68" s="865">
        <f>G66-G67</f>
        <v>0</v>
      </c>
      <c r="H68" s="901"/>
      <c r="I68" s="14">
        <f>I66-I67</f>
        <v>0</v>
      </c>
      <c r="J68" s="349"/>
    </row>
    <row r="69" spans="1:10" ht="12.75">
      <c r="A69" s="349"/>
      <c r="B69" s="10"/>
      <c r="C69" s="923" t="s">
        <v>423</v>
      </c>
      <c r="D69" s="70"/>
      <c r="E69" s="924">
        <f>MAX(E11-E14-E10,0)</f>
        <v>0</v>
      </c>
      <c r="F69" s="866"/>
      <c r="G69" s="924">
        <f>MAX(G11-G14-G10,0)</f>
        <v>0</v>
      </c>
      <c r="H69" s="901"/>
      <c r="I69" s="925" t="s">
        <v>100</v>
      </c>
      <c r="J69" s="349"/>
    </row>
    <row r="70" spans="1:10" ht="12.75">
      <c r="A70" s="349"/>
      <c r="B70" s="1397" t="s">
        <v>587</v>
      </c>
      <c r="C70" s="1398"/>
      <c r="D70" s="70" t="s">
        <v>119</v>
      </c>
      <c r="E70" s="926">
        <f>E68*E69</f>
        <v>0</v>
      </c>
      <c r="F70" s="866"/>
      <c r="G70" s="865">
        <f>G68*G69</f>
        <v>0</v>
      </c>
      <c r="H70" s="901"/>
      <c r="I70" s="868">
        <f>I68*((E69+G69)/2)</f>
        <v>0</v>
      </c>
      <c r="J70" s="349"/>
    </row>
    <row r="71" spans="1:10" ht="3" customHeight="1" thickBot="1">
      <c r="A71" s="349"/>
      <c r="B71" s="1394" t="str">
        <f>IF(OR(E11="",G11=""),"No long-term elimination period selected, enter information above or skip to results.","")</f>
        <v>No long-term elimination period selected, enter information above or skip to results.</v>
      </c>
      <c r="C71" s="1395"/>
      <c r="D71" s="1395"/>
      <c r="E71" s="1395"/>
      <c r="F71" s="1395"/>
      <c r="G71" s="1395"/>
      <c r="H71" s="1395"/>
      <c r="I71" s="1396"/>
      <c r="J71" s="349"/>
    </row>
    <row r="72" spans="1:10" ht="13.5" thickTop="1">
      <c r="A72" s="349"/>
      <c r="B72" s="907" t="s">
        <v>382</v>
      </c>
      <c r="C72" s="908"/>
      <c r="D72" s="909"/>
      <c r="E72" s="909"/>
      <c r="F72" s="910"/>
      <c r="G72" s="909"/>
      <c r="H72" s="909"/>
      <c r="I72" s="911"/>
      <c r="J72" s="349"/>
    </row>
    <row r="73" spans="1:10" ht="12.75">
      <c r="A73" s="349"/>
      <c r="B73" s="10"/>
      <c r="C73" s="57" t="s">
        <v>431</v>
      </c>
      <c r="D73" s="70"/>
      <c r="E73" s="613"/>
      <c r="F73" s="866"/>
      <c r="G73" s="613"/>
      <c r="H73" s="901"/>
      <c r="I73" s="912">
        <f aca="true" t="shared" si="0" ref="I73:I79">SUM(E73:G73)</f>
        <v>0</v>
      </c>
      <c r="J73" s="349"/>
    </row>
    <row r="74" spans="1:10" ht="12.75">
      <c r="A74" s="349"/>
      <c r="B74" s="10"/>
      <c r="C74" s="57" t="s">
        <v>583</v>
      </c>
      <c r="D74" s="849" t="s">
        <v>121</v>
      </c>
      <c r="E74" s="613"/>
      <c r="F74" s="866"/>
      <c r="G74" s="613"/>
      <c r="H74" s="901"/>
      <c r="I74" s="870">
        <f t="shared" si="0"/>
        <v>0</v>
      </c>
      <c r="J74" s="349"/>
    </row>
    <row r="75" spans="1:10" ht="12.75">
      <c r="A75" s="349"/>
      <c r="B75" s="236" t="s">
        <v>246</v>
      </c>
      <c r="C75" s="10"/>
      <c r="D75" s="70" t="s">
        <v>119</v>
      </c>
      <c r="E75" s="865">
        <f>SUM(E73:E74)</f>
        <v>0</v>
      </c>
      <c r="F75" s="866"/>
      <c r="G75" s="865">
        <f>SUM(G73:G74)</f>
        <v>0</v>
      </c>
      <c r="H75" s="901"/>
      <c r="I75" s="868">
        <f t="shared" si="0"/>
        <v>0</v>
      </c>
      <c r="J75" s="349"/>
    </row>
    <row r="76" spans="1:10" ht="12.75">
      <c r="A76" s="349"/>
      <c r="B76" s="10"/>
      <c r="C76" s="57" t="s">
        <v>432</v>
      </c>
      <c r="D76" s="70"/>
      <c r="E76" s="613"/>
      <c r="F76" s="866"/>
      <c r="G76" s="613"/>
      <c r="H76" s="901"/>
      <c r="I76" s="912">
        <f t="shared" si="0"/>
        <v>0</v>
      </c>
      <c r="J76" s="349"/>
    </row>
    <row r="77" spans="1:10" ht="12.75">
      <c r="A77" s="349"/>
      <c r="B77" s="10"/>
      <c r="C77" s="57" t="s">
        <v>584</v>
      </c>
      <c r="D77" s="70"/>
      <c r="E77" s="613"/>
      <c r="F77" s="866"/>
      <c r="G77" s="613"/>
      <c r="H77" s="901"/>
      <c r="I77" s="868">
        <f t="shared" si="0"/>
        <v>0</v>
      </c>
      <c r="J77" s="349"/>
    </row>
    <row r="78" spans="1:10" ht="12.75">
      <c r="A78" s="349"/>
      <c r="B78" s="10"/>
      <c r="C78" s="57" t="s">
        <v>250</v>
      </c>
      <c r="D78" s="849" t="s">
        <v>121</v>
      </c>
      <c r="E78" s="613"/>
      <c r="F78" s="866"/>
      <c r="G78" s="613"/>
      <c r="H78" s="901"/>
      <c r="I78" s="870">
        <f t="shared" si="0"/>
        <v>0</v>
      </c>
      <c r="J78" s="349"/>
    </row>
    <row r="79" spans="1:10" ht="12.75">
      <c r="A79" s="349"/>
      <c r="B79" s="236" t="s">
        <v>247</v>
      </c>
      <c r="C79" s="10"/>
      <c r="D79" s="70" t="s">
        <v>119</v>
      </c>
      <c r="E79" s="865">
        <f>SUM(E76:E78)</f>
        <v>0</v>
      </c>
      <c r="F79" s="866"/>
      <c r="G79" s="865">
        <f>SUM(G76:G78)</f>
        <v>0</v>
      </c>
      <c r="H79" s="901"/>
      <c r="I79" s="868">
        <f t="shared" si="0"/>
        <v>0</v>
      </c>
      <c r="J79" s="349"/>
    </row>
    <row r="80" spans="1:10" ht="3" customHeight="1" thickBot="1">
      <c r="A80" s="349"/>
      <c r="B80" s="1394" t="str">
        <f>IF(OR(E15="",G15=""),"No long-term benefit period selected, enter information above or skip to results.","")</f>
        <v>No long-term benefit period selected, enter information above or skip to results.</v>
      </c>
      <c r="C80" s="1395"/>
      <c r="D80" s="1395"/>
      <c r="E80" s="1395"/>
      <c r="F80" s="1395"/>
      <c r="G80" s="1395"/>
      <c r="H80" s="1395"/>
      <c r="I80" s="1396"/>
      <c r="J80" s="349"/>
    </row>
    <row r="81" spans="1:10" ht="13.5" thickTop="1">
      <c r="A81" s="349"/>
      <c r="B81" s="1386" t="s">
        <v>666</v>
      </c>
      <c r="C81" s="1387"/>
      <c r="D81" s="1387"/>
      <c r="E81" s="1387"/>
      <c r="F81" s="1387"/>
      <c r="G81" s="1387"/>
      <c r="H81" s="909"/>
      <c r="I81" s="927"/>
      <c r="J81" s="349"/>
    </row>
    <row r="82" spans="1:10" ht="12.75">
      <c r="A82" s="349"/>
      <c r="B82" s="10"/>
      <c r="C82" s="57" t="s">
        <v>662</v>
      </c>
      <c r="D82" s="70"/>
      <c r="E82" s="865">
        <f>IF(E79=0,0,E79*'Inc Tax Estimator'!I19)</f>
        <v>0</v>
      </c>
      <c r="F82" s="866"/>
      <c r="G82" s="865">
        <f>IF(G79=0,0,G79*'Inc Tax Estimator'!I19)</f>
        <v>0</v>
      </c>
      <c r="H82" s="867"/>
      <c r="I82" s="868">
        <f>E82+G82</f>
        <v>0</v>
      </c>
      <c r="J82" s="349"/>
    </row>
    <row r="83" spans="1:10" ht="12.75">
      <c r="A83" s="349"/>
      <c r="B83" s="10"/>
      <c r="C83" s="57" t="s">
        <v>663</v>
      </c>
      <c r="D83" s="70" t="s">
        <v>121</v>
      </c>
      <c r="E83" s="865">
        <f>E79*'Inc Tax Estimator'!H37</f>
        <v>0</v>
      </c>
      <c r="F83" s="866"/>
      <c r="G83" s="865">
        <f>G79*'Inc Tax Estimator'!H37</f>
        <v>0</v>
      </c>
      <c r="H83" s="867"/>
      <c r="I83" s="868">
        <f>E83+G83</f>
        <v>0</v>
      </c>
      <c r="J83" s="349"/>
    </row>
    <row r="84" spans="1:10" ht="12.75">
      <c r="A84" s="349"/>
      <c r="B84" s="10"/>
      <c r="C84" s="57" t="s">
        <v>664</v>
      </c>
      <c r="D84" s="849" t="s">
        <v>121</v>
      </c>
      <c r="E84" s="869">
        <f>IF(E79&gt;'Income Tax Sch'!$H$21,('Disability Ins Estimator'!E79*0.0145+'Income Tax Sch'!$H$21*0.062),'Disability Ins Estimator'!E79*0.0765)</f>
        <v>0</v>
      </c>
      <c r="F84" s="866"/>
      <c r="G84" s="869">
        <f>IF(G79&gt;'Income Tax Sch'!$H$21,('Disability Ins Estimator'!G79*0.0145+'Income Tax Sch'!$H$21*0.062),'Disability Ins Estimator'!G79*0.0765)</f>
        <v>0</v>
      </c>
      <c r="H84" s="867"/>
      <c r="I84" s="870">
        <f>E84+G84</f>
        <v>0</v>
      </c>
      <c r="J84" s="349"/>
    </row>
    <row r="85" spans="1:10" ht="12.75">
      <c r="A85" s="349"/>
      <c r="B85" s="10"/>
      <c r="C85" s="57" t="s">
        <v>71</v>
      </c>
      <c r="D85" s="70" t="s">
        <v>119</v>
      </c>
      <c r="E85" s="865">
        <f>SUM(E82:E84)</f>
        <v>0</v>
      </c>
      <c r="F85" s="866"/>
      <c r="G85" s="865">
        <f>SUM(G82:G84)</f>
        <v>0</v>
      </c>
      <c r="H85" s="867"/>
      <c r="I85" s="868">
        <f>E85+G85</f>
        <v>0</v>
      </c>
      <c r="J85" s="349"/>
    </row>
    <row r="86" spans="1:10" ht="3" customHeight="1">
      <c r="A86" s="349"/>
      <c r="B86" s="10"/>
      <c r="C86" s="57"/>
      <c r="D86" s="70"/>
      <c r="E86" s="125"/>
      <c r="F86" s="866"/>
      <c r="G86" s="125"/>
      <c r="H86" s="867"/>
      <c r="I86" s="915"/>
      <c r="J86" s="349"/>
    </row>
    <row r="87" spans="1:12" ht="12.75" customHeight="1">
      <c r="A87" s="349"/>
      <c r="B87" s="1378" t="s">
        <v>628</v>
      </c>
      <c r="C87" s="1379"/>
      <c r="D87" s="916"/>
      <c r="E87" s="917" t="s">
        <v>219</v>
      </c>
      <c r="F87" s="862"/>
      <c r="G87" s="917" t="s">
        <v>220</v>
      </c>
      <c r="H87" s="867"/>
      <c r="I87" s="928" t="s">
        <v>630</v>
      </c>
      <c r="J87" s="349"/>
      <c r="L87" s="10"/>
    </row>
    <row r="88" spans="1:10" ht="12.75">
      <c r="A88" s="349"/>
      <c r="B88" s="1380" t="s">
        <v>3</v>
      </c>
      <c r="C88" s="1381"/>
      <c r="D88" s="849" t="s">
        <v>119</v>
      </c>
      <c r="E88" s="869">
        <f>E34+E75+E79-E85</f>
        <v>0</v>
      </c>
      <c r="F88" s="866"/>
      <c r="G88" s="869">
        <f>G34+G75+G79-G85</f>
        <v>0</v>
      </c>
      <c r="H88" s="867"/>
      <c r="I88" s="930">
        <f>I34+I75+I79-I85</f>
        <v>0</v>
      </c>
      <c r="J88" s="349"/>
    </row>
    <row r="89" spans="1:10" ht="12.75">
      <c r="A89" s="349"/>
      <c r="B89" s="931" t="s">
        <v>435</v>
      </c>
      <c r="C89" s="10"/>
      <c r="D89" s="876" t="s">
        <v>119</v>
      </c>
      <c r="E89" s="877" t="str">
        <f>IF($G$19=0,"N/A",$E$88/$G$19)</f>
        <v>N/A</v>
      </c>
      <c r="F89" s="878"/>
      <c r="G89" s="877" t="str">
        <f>IF($G$19=0,"N/A",$G$88/$G$19)</f>
        <v>N/A</v>
      </c>
      <c r="H89" s="877"/>
      <c r="I89" s="932" t="str">
        <f>IF($G$19=0,"N/A",$I$88/$G$19)</f>
        <v>N/A</v>
      </c>
      <c r="J89" s="349"/>
    </row>
    <row r="90" spans="1:10" ht="13.5" thickBot="1">
      <c r="A90" s="246"/>
      <c r="B90" s="411"/>
      <c r="C90" s="884"/>
      <c r="D90" s="881"/>
      <c r="E90" s="882"/>
      <c r="F90" s="883"/>
      <c r="G90" s="882"/>
      <c r="H90" s="882"/>
      <c r="I90" s="412"/>
      <c r="J90" s="246"/>
    </row>
    <row r="91" spans="1:10" ht="13.5" thickBot="1">
      <c r="A91" s="1240" t="s">
        <v>424</v>
      </c>
      <c r="B91" s="1241"/>
      <c r="C91" s="1241"/>
      <c r="D91" s="1241"/>
      <c r="E91" s="1241"/>
      <c r="F91" s="1241"/>
      <c r="G91" s="1241"/>
      <c r="H91" s="1241"/>
      <c r="I91" s="1241"/>
      <c r="J91" s="1242"/>
    </row>
    <row r="92" spans="1:10" ht="13.5" thickBot="1">
      <c r="A92" s="349"/>
      <c r="B92" s="1285" t="s">
        <v>427</v>
      </c>
      <c r="C92" s="1285"/>
      <c r="D92" s="1285"/>
      <c r="E92" s="1285"/>
      <c r="F92" s="1285"/>
      <c r="G92" s="1285"/>
      <c r="H92" s="1285"/>
      <c r="I92" s="1285"/>
      <c r="J92" s="349"/>
    </row>
    <row r="93" spans="1:10" ht="12.75">
      <c r="A93" s="349"/>
      <c r="B93" s="66"/>
      <c r="C93" s="68"/>
      <c r="D93" s="933"/>
      <c r="E93" s="934" t="s">
        <v>219</v>
      </c>
      <c r="F93" s="935"/>
      <c r="G93" s="934" t="s">
        <v>220</v>
      </c>
      <c r="H93" s="936"/>
      <c r="I93" s="937" t="s">
        <v>630</v>
      </c>
      <c r="J93" s="349"/>
    </row>
    <row r="94" spans="1:10" ht="12.75">
      <c r="A94" s="349"/>
      <c r="B94" s="8"/>
      <c r="C94" s="57" t="s">
        <v>379</v>
      </c>
      <c r="D94" s="70"/>
      <c r="E94" s="865">
        <f>E42</f>
        <v>0</v>
      </c>
      <c r="F94" s="938"/>
      <c r="G94" s="865">
        <f>G42</f>
        <v>0</v>
      </c>
      <c r="H94" s="901"/>
      <c r="I94" s="29">
        <f>I42</f>
        <v>0</v>
      </c>
      <c r="J94" s="349"/>
    </row>
    <row r="95" spans="1:10" ht="12.75">
      <c r="A95" s="349"/>
      <c r="B95" s="8"/>
      <c r="C95" s="57" t="s">
        <v>380</v>
      </c>
      <c r="D95" s="70" t="s">
        <v>121</v>
      </c>
      <c r="E95" s="865">
        <f>E70</f>
        <v>0</v>
      </c>
      <c r="F95" s="938"/>
      <c r="G95" s="865">
        <f>G70</f>
        <v>0</v>
      </c>
      <c r="H95" s="901"/>
      <c r="I95" s="29">
        <f>I70</f>
        <v>0</v>
      </c>
      <c r="J95" s="349"/>
    </row>
    <row r="96" spans="1:10" ht="12.75">
      <c r="A96" s="349"/>
      <c r="B96" s="364" t="s">
        <v>381</v>
      </c>
      <c r="C96" s="10"/>
      <c r="D96" s="939" t="s">
        <v>119</v>
      </c>
      <c r="E96" s="940">
        <f>E95+E94</f>
        <v>0</v>
      </c>
      <c r="F96" s="941"/>
      <c r="G96" s="940">
        <f>G95+G94</f>
        <v>0</v>
      </c>
      <c r="H96" s="905"/>
      <c r="I96" s="942">
        <f>I95+I94</f>
        <v>0</v>
      </c>
      <c r="J96" s="349"/>
    </row>
    <row r="97" spans="1:10" ht="3" customHeight="1" thickBot="1">
      <c r="A97" s="349"/>
      <c r="B97" s="943"/>
      <c r="C97" s="31"/>
      <c r="D97" s="944"/>
      <c r="E97" s="945"/>
      <c r="F97" s="946"/>
      <c r="G97" s="945"/>
      <c r="H97" s="947"/>
      <c r="I97" s="948"/>
      <c r="J97" s="349"/>
    </row>
    <row r="98" spans="1:10" ht="12.75">
      <c r="A98" s="349"/>
      <c r="B98" s="10" t="s">
        <v>425</v>
      </c>
      <c r="C98" s="10"/>
      <c r="D98" s="70"/>
      <c r="E98" s="75"/>
      <c r="F98" s="101"/>
      <c r="G98" s="75"/>
      <c r="H98" s="75"/>
      <c r="I98" s="27"/>
      <c r="J98" s="349"/>
    </row>
    <row r="99" spans="1:10" ht="12.75">
      <c r="A99" s="349"/>
      <c r="B99" s="10"/>
      <c r="C99" s="949"/>
      <c r="D99" s="949"/>
      <c r="E99" s="949"/>
      <c r="F99" s="949"/>
      <c r="G99" s="949"/>
      <c r="H99" s="950" t="str">
        <f>IF(E61&lt;1,"If the primary client becomes disabled, there is an income shortfall = ","If the primary client becomes disabled, there is an income surplus = ")</f>
        <v>If the primary client becomes disabled, there is an income surplus = </v>
      </c>
      <c r="I99" s="951">
        <f>E60-G19</f>
        <v>0</v>
      </c>
      <c r="J99" s="349"/>
    </row>
    <row r="100" spans="1:10" ht="12.75">
      <c r="A100" s="349"/>
      <c r="B100" s="10"/>
      <c r="C100" s="949"/>
      <c r="D100" s="949"/>
      <c r="E100" s="949"/>
      <c r="F100" s="949"/>
      <c r="G100" s="949"/>
      <c r="H100" s="950" t="str">
        <f>IF($G$61&lt;1,"If the co-client becomes disabled, there is an income shortfall = ","If the co-client becomes disabled, there is an income surplus = ")</f>
        <v>If the co-client becomes disabled, there is an income surplus = </v>
      </c>
      <c r="I100" s="951">
        <f>G60-G19</f>
        <v>0</v>
      </c>
      <c r="J100" s="349"/>
    </row>
    <row r="101" spans="1:10" ht="12.75">
      <c r="A101" s="349"/>
      <c r="B101" s="10"/>
      <c r="C101" s="949"/>
      <c r="D101" s="949"/>
      <c r="E101" s="949"/>
      <c r="F101" s="949"/>
      <c r="G101" s="949"/>
      <c r="H101" s="950" t="str">
        <f>IF(I61&lt;1,"If both clients become disabled, there is an income shortfall = ","If both clients become disabled, there is an income surplus = ")</f>
        <v>If both clients become disabled, there is an income surplus = </v>
      </c>
      <c r="I101" s="951">
        <f>I60-G19</f>
        <v>0</v>
      </c>
      <c r="J101" s="349"/>
    </row>
    <row r="102" spans="1:10" ht="3" customHeight="1" thickBot="1">
      <c r="A102" s="349"/>
      <c r="B102" s="31"/>
      <c r="C102" s="952"/>
      <c r="D102" s="952"/>
      <c r="E102" s="952"/>
      <c r="F102" s="952"/>
      <c r="G102" s="952"/>
      <c r="H102" s="953"/>
      <c r="I102" s="954"/>
      <c r="J102" s="349"/>
    </row>
    <row r="103" spans="1:10" ht="12.75">
      <c r="A103" s="349"/>
      <c r="B103" s="10" t="s">
        <v>426</v>
      </c>
      <c r="C103" s="10"/>
      <c r="D103" s="70"/>
      <c r="E103" s="75"/>
      <c r="F103" s="101"/>
      <c r="G103" s="75"/>
      <c r="H103" s="75"/>
      <c r="I103" s="27"/>
      <c r="J103" s="349"/>
    </row>
    <row r="104" spans="1:10" ht="12.75">
      <c r="A104" s="349"/>
      <c r="B104" s="10"/>
      <c r="C104" s="949"/>
      <c r="D104" s="949"/>
      <c r="E104" s="949"/>
      <c r="F104" s="949"/>
      <c r="G104" s="949"/>
      <c r="H104" s="950" t="str">
        <f>IF(E89&lt;1,"If the primary client becomes disabled, there is an income shortfall = ","If the primary client becomes disabled, there is an income surplus = ")</f>
        <v>If the primary client becomes disabled, there is an income surplus = </v>
      </c>
      <c r="I104" s="951">
        <f>E88-G19</f>
        <v>0</v>
      </c>
      <c r="J104" s="349"/>
    </row>
    <row r="105" spans="1:10" ht="12.75">
      <c r="A105" s="349"/>
      <c r="B105" s="10"/>
      <c r="C105" s="949"/>
      <c r="D105" s="949"/>
      <c r="E105" s="949"/>
      <c r="F105" s="949"/>
      <c r="G105" s="949"/>
      <c r="H105" s="950" t="str">
        <f>IF($G$89&lt;1,"If the co-client becomes disabled, there is an income shortfall = ","If the co-client becomes disabled, there is an income surplus = ")</f>
        <v>If the co-client becomes disabled, there is an income surplus = </v>
      </c>
      <c r="I105" s="951">
        <f>G88-G19</f>
        <v>0</v>
      </c>
      <c r="J105" s="349"/>
    </row>
    <row r="106" spans="1:10" ht="12.75">
      <c r="A106" s="349"/>
      <c r="B106" s="10"/>
      <c r="C106" s="949"/>
      <c r="D106" s="949"/>
      <c r="E106" s="949"/>
      <c r="F106" s="949"/>
      <c r="G106" s="949"/>
      <c r="H106" s="950" t="str">
        <f>IF(I89&lt;1,"If both clients become disabled, there is an income shortfall = ","If both clients become disabled, there is an income surplus = ")</f>
        <v>If both clients become disabled, there is an income surplus = </v>
      </c>
      <c r="I106" s="951">
        <f>I88-G19</f>
        <v>0</v>
      </c>
      <c r="J106" s="349"/>
    </row>
    <row r="107" spans="1:10" ht="13.5" thickBot="1">
      <c r="A107" s="246"/>
      <c r="B107" s="30"/>
      <c r="C107" s="31"/>
      <c r="D107" s="429"/>
      <c r="E107" s="31"/>
      <c r="F107" s="955"/>
      <c r="G107" s="31"/>
      <c r="H107" s="31"/>
      <c r="I107" s="33"/>
      <c r="J107" s="246"/>
    </row>
  </sheetData>
  <sheetProtection/>
  <mergeCells count="26">
    <mergeCell ref="B52:I52"/>
    <mergeCell ref="B53:G53"/>
    <mergeCell ref="B21:I21"/>
    <mergeCell ref="B30:I30"/>
    <mergeCell ref="B29:C29"/>
    <mergeCell ref="B27:C27"/>
    <mergeCell ref="B38:C38"/>
    <mergeCell ref="B42:C42"/>
    <mergeCell ref="B43:I43"/>
    <mergeCell ref="A1:J1"/>
    <mergeCell ref="D37:I37"/>
    <mergeCell ref="B92:I92"/>
    <mergeCell ref="B65:C65"/>
    <mergeCell ref="A91:J91"/>
    <mergeCell ref="B71:I71"/>
    <mergeCell ref="B80:I80"/>
    <mergeCell ref="B70:C70"/>
    <mergeCell ref="A63:J63"/>
    <mergeCell ref="A36:J36"/>
    <mergeCell ref="B87:C87"/>
    <mergeCell ref="B88:C88"/>
    <mergeCell ref="B59:C59"/>
    <mergeCell ref="B60:C60"/>
    <mergeCell ref="B81:G81"/>
    <mergeCell ref="B61:C61"/>
    <mergeCell ref="D64:I64"/>
  </mergeCells>
  <dataValidations count="1">
    <dataValidation type="list" allowBlank="1" showInputMessage="1" showErrorMessage="1" sqref="I17 G7 E7">
      <formula1>$M$17:$M$19</formula1>
    </dataValidation>
  </dataValidations>
  <printOptions horizontalCentered="1"/>
  <pageMargins left="0.75" right="0.75" top="0.75" bottom="1" header="0.5" footer="0.5"/>
  <pageSetup horizontalDpi="300" verticalDpi="300" orientation="portrait" r:id="rId3"/>
  <headerFooter alignWithMargins="0">
    <oddFooter>&amp;LDisability Insurance Estimator&amp;R&amp;P</oddFooter>
  </headerFooter>
  <rowBreaks count="1" manualBreakCount="1">
    <brk id="35" max="255" man="1"/>
  </rowBreaks>
  <ignoredErrors>
    <ignoredError sqref="G39:G41 E39:E41 E28 B61 C34 G66:G68 I28 B54:B58 E66:E68 G28 B32:B34 C57:C58 E34 I39:I41 F39:F42 H39:H42 I58 F66:F70 C29 B26 I54:I56 E60 D32:D34 G34 I66:I69 F32:F34 H32:H34 H66:H70 D26 B27:B28 H29 F29 D29 B29 D27:D28 F27:F28 H27:H28 H59:H61 C28 D59:D61 G60 F59:F61 I60 H26 F26 D54:D58 E55:E58 F54:F58 H54:H58 G55:G58" evalError="1"/>
    <ignoredError sqref="I47" formula="1"/>
  </ignoredErrors>
  <legacyDrawing r:id="rId2"/>
</worksheet>
</file>

<file path=xl/worksheets/sheet14.xml><?xml version="1.0" encoding="utf-8"?>
<worksheet xmlns="http://schemas.openxmlformats.org/spreadsheetml/2006/main" xmlns:r="http://schemas.openxmlformats.org/officeDocument/2006/relationships">
  <sheetPr codeName="Sheet5">
    <tabColor indexed="53"/>
  </sheetPr>
  <dimension ref="A1:M98"/>
  <sheetViews>
    <sheetView zoomScalePageLayoutView="0" workbookViewId="0" topLeftCell="A1">
      <selection activeCell="F4" sqref="F4"/>
    </sheetView>
  </sheetViews>
  <sheetFormatPr defaultColWidth="9.140625" defaultRowHeight="12.75"/>
  <cols>
    <col min="1" max="1" width="14.7109375" style="11" customWidth="1"/>
    <col min="2" max="2" width="9.7109375" style="11" customWidth="1"/>
    <col min="3" max="3" width="12.7109375" style="11" customWidth="1"/>
    <col min="4" max="4" width="13.7109375" style="11" customWidth="1"/>
    <col min="5" max="5" width="10.7109375" style="11" customWidth="1"/>
    <col min="6" max="6" width="6.7109375" style="11" customWidth="1"/>
    <col min="7" max="7" width="11.7109375" style="11" customWidth="1"/>
    <col min="8" max="8" width="9.7109375" style="11" customWidth="1"/>
    <col min="9" max="9" width="9.140625" style="914" customWidth="1"/>
    <col min="10" max="10" width="0" style="914" hidden="1" customWidth="1"/>
    <col min="11" max="12" width="0" style="961" hidden="1" customWidth="1"/>
    <col min="13" max="13" width="9.140625" style="914" customWidth="1"/>
    <col min="14" max="16384" width="9.140625" style="11" customWidth="1"/>
  </cols>
  <sheetData>
    <row r="1" spans="1:8" ht="13.5" thickBot="1">
      <c r="A1" s="1240" t="s">
        <v>674</v>
      </c>
      <c r="B1" s="1241"/>
      <c r="C1" s="1241"/>
      <c r="D1" s="1241"/>
      <c r="E1" s="1241"/>
      <c r="F1" s="1241"/>
      <c r="G1" s="1241"/>
      <c r="H1" s="1242"/>
    </row>
    <row r="2" spans="1:8" ht="13.5" thickBot="1">
      <c r="A2" s="8"/>
      <c r="B2" s="10"/>
      <c r="C2" s="10"/>
      <c r="D2" s="10"/>
      <c r="E2" s="72"/>
      <c r="F2" s="10"/>
      <c r="G2" s="10"/>
      <c r="H2" s="27"/>
    </row>
    <row r="3" spans="1:10" ht="13.5" thickBot="1">
      <c r="A3" s="8"/>
      <c r="B3" s="10"/>
      <c r="C3" s="102" t="s">
        <v>606</v>
      </c>
      <c r="D3" s="448">
        <f>'Inc Stmt'!F8+'Inc Stmt'!G8</f>
        <v>0</v>
      </c>
      <c r="E3" s="72"/>
      <c r="F3" s="962"/>
      <c r="G3" s="72"/>
      <c r="H3" s="27"/>
      <c r="J3" s="963">
        <f>'Income Tax Sch'!D6</f>
        <v>0.1</v>
      </c>
    </row>
    <row r="4" spans="1:10" ht="13.5" thickBot="1">
      <c r="A4" s="1409" t="s">
        <v>391</v>
      </c>
      <c r="B4" s="1410"/>
      <c r="C4" s="10"/>
      <c r="D4" s="10"/>
      <c r="E4" s="102" t="s">
        <v>615</v>
      </c>
      <c r="F4" s="564"/>
      <c r="G4" s="72"/>
      <c r="H4" s="27"/>
      <c r="J4" s="963">
        <f>'Income Tax Sch'!D7</f>
        <v>0.15</v>
      </c>
    </row>
    <row r="5" spans="1:10" ht="13.5" thickBot="1">
      <c r="A5" s="1409"/>
      <c r="B5" s="1410"/>
      <c r="C5" s="1046"/>
      <c r="D5" s="10"/>
      <c r="E5" s="72"/>
      <c r="F5" s="10"/>
      <c r="G5" s="229" t="s">
        <v>223</v>
      </c>
      <c r="H5" s="230">
        <f>MAX(0,C5-'Client Info'!D6)</f>
        <v>0</v>
      </c>
      <c r="J5" s="963">
        <f>'Income Tax Sch'!D8</f>
        <v>0.25</v>
      </c>
    </row>
    <row r="6" spans="1:10" ht="13.5" thickBot="1">
      <c r="A6" s="1418" t="s">
        <v>242</v>
      </c>
      <c r="B6" s="1419"/>
      <c r="C6" s="1419"/>
      <c r="D6" s="556"/>
      <c r="E6" s="72"/>
      <c r="F6" s="962"/>
      <c r="G6" s="72"/>
      <c r="H6" s="27"/>
      <c r="J6" s="963">
        <f>'Income Tax Sch'!D9</f>
        <v>0.28</v>
      </c>
    </row>
    <row r="7" spans="1:10" ht="13.5" thickBot="1">
      <c r="A7" s="1418" t="s">
        <v>771</v>
      </c>
      <c r="B7" s="1419"/>
      <c r="C7" s="1419"/>
      <c r="D7" s="556"/>
      <c r="E7" s="10"/>
      <c r="F7" s="962"/>
      <c r="G7" s="72"/>
      <c r="H7" s="27"/>
      <c r="J7" s="963">
        <f>'Income Tax Sch'!D10</f>
        <v>0.33</v>
      </c>
    </row>
    <row r="8" spans="1:10" ht="13.5" thickBot="1">
      <c r="A8" s="1420" t="s">
        <v>287</v>
      </c>
      <c r="B8" s="1421"/>
      <c r="C8" s="1422"/>
      <c r="D8" s="964">
        <f>D3*(1+D7)^H5</f>
        <v>0</v>
      </c>
      <c r="E8" s="31"/>
      <c r="F8" s="410"/>
      <c r="G8" s="143"/>
      <c r="H8" s="33"/>
      <c r="J8" s="963">
        <f>'Income Tax Sch'!D11</f>
        <v>0.35</v>
      </c>
    </row>
    <row r="9" spans="1:8" ht="13.5" thickBot="1">
      <c r="A9" s="1405" t="s">
        <v>115</v>
      </c>
      <c r="B9" s="1406"/>
      <c r="C9" s="1406"/>
      <c r="D9" s="1406"/>
      <c r="E9" s="1406"/>
      <c r="F9" s="1406"/>
      <c r="G9" s="1406"/>
      <c r="H9" s="1407"/>
    </row>
    <row r="10" spans="1:8" ht="13.5" thickBot="1">
      <c r="A10" s="1411" t="s">
        <v>679</v>
      </c>
      <c r="B10" s="1412"/>
      <c r="C10" s="966">
        <f>SUM(B11:B13)</f>
        <v>0</v>
      </c>
      <c r="D10" s="967"/>
      <c r="E10" s="967"/>
      <c r="F10" s="968"/>
      <c r="G10" s="968"/>
      <c r="H10" s="969"/>
    </row>
    <row r="11" spans="1:8" ht="12.75">
      <c r="A11" s="970" t="s">
        <v>224</v>
      </c>
      <c r="B11" s="1051"/>
      <c r="C11" s="1051"/>
      <c r="D11" s="971"/>
      <c r="E11" s="967"/>
      <c r="F11" s="972" t="s">
        <v>224</v>
      </c>
      <c r="G11" s="973">
        <f>B11</f>
        <v>0</v>
      </c>
      <c r="H11" s="969"/>
    </row>
    <row r="12" spans="1:8" ht="12.75">
      <c r="A12" s="974" t="s">
        <v>225</v>
      </c>
      <c r="B12" s="1052"/>
      <c r="C12" s="1052"/>
      <c r="D12" s="971"/>
      <c r="E12" s="967"/>
      <c r="F12" s="972" t="s">
        <v>225</v>
      </c>
      <c r="G12" s="973">
        <f>B12</f>
        <v>0</v>
      </c>
      <c r="H12" s="969"/>
    </row>
    <row r="13" spans="1:8" ht="13.5" thickBot="1">
      <c r="A13" s="975" t="s">
        <v>226</v>
      </c>
      <c r="B13" s="1053"/>
      <c r="C13" s="1053"/>
      <c r="D13" s="971"/>
      <c r="E13" s="967"/>
      <c r="F13" s="972" t="s">
        <v>226</v>
      </c>
      <c r="G13" s="973">
        <f>B13</f>
        <v>0</v>
      </c>
      <c r="H13" s="969"/>
    </row>
    <row r="14" spans="1:8" ht="13.5" thickBot="1">
      <c r="A14" s="1413" t="s">
        <v>680</v>
      </c>
      <c r="B14" s="1414"/>
      <c r="C14" s="976">
        <f>SUM(B15:B17)</f>
        <v>0</v>
      </c>
      <c r="D14" s="967"/>
      <c r="E14" s="967"/>
      <c r="F14" s="972" t="s">
        <v>228</v>
      </c>
      <c r="G14" s="973">
        <f>B15</f>
        <v>0</v>
      </c>
      <c r="H14" s="969"/>
    </row>
    <row r="15" spans="1:8" ht="12.75">
      <c r="A15" s="970" t="s">
        <v>228</v>
      </c>
      <c r="B15" s="1054"/>
      <c r="C15" s="1054"/>
      <c r="D15" s="977" t="str">
        <f>'Warnings &amp; Alerts'!K49</f>
        <v>(1999-2004)</v>
      </c>
      <c r="E15" s="967"/>
      <c r="F15" s="972" t="s">
        <v>227</v>
      </c>
      <c r="G15" s="973">
        <f>B16</f>
        <v>0</v>
      </c>
      <c r="H15" s="969"/>
    </row>
    <row r="16" spans="1:8" ht="12.75">
      <c r="A16" s="970" t="s">
        <v>227</v>
      </c>
      <c r="B16" s="1055"/>
      <c r="C16" s="1055"/>
      <c r="D16" s="977" t="str">
        <f>'Warnings &amp; Alerts'!K50</f>
        <v>(1995-2004)</v>
      </c>
      <c r="E16" s="967"/>
      <c r="F16" s="972" t="s">
        <v>229</v>
      </c>
      <c r="G16" s="973">
        <f>B17</f>
        <v>0</v>
      </c>
      <c r="H16" s="969"/>
    </row>
    <row r="17" spans="1:8" ht="13.5" thickBot="1">
      <c r="A17" s="978" t="s">
        <v>229</v>
      </c>
      <c r="B17" s="1056"/>
      <c r="C17" s="1056"/>
      <c r="D17" s="977" t="str">
        <f>'Warnings &amp; Alerts'!K51</f>
        <v>(1985-2004)</v>
      </c>
      <c r="E17" s="967"/>
      <c r="F17" s="972" t="s">
        <v>230</v>
      </c>
      <c r="G17" s="973">
        <f>B21</f>
        <v>0</v>
      </c>
      <c r="H17" s="969"/>
    </row>
    <row r="18" spans="1:8" ht="13.5" thickBot="1">
      <c r="A18" s="970"/>
      <c r="B18" s="979" t="s">
        <v>678</v>
      </c>
      <c r="C18" s="980">
        <f>SUM(B19:B19)</f>
        <v>0</v>
      </c>
      <c r="D18" s="977"/>
      <c r="E18" s="967"/>
      <c r="F18" s="972" t="s">
        <v>234</v>
      </c>
      <c r="G18" s="973">
        <f>B19</f>
        <v>0</v>
      </c>
      <c r="H18" s="969"/>
    </row>
    <row r="19" spans="1:8" ht="13.5" thickBot="1">
      <c r="A19" s="970" t="s">
        <v>234</v>
      </c>
      <c r="B19" s="1057"/>
      <c r="C19" s="1057">
        <v>0.25</v>
      </c>
      <c r="D19" s="977"/>
      <c r="E19" s="967"/>
      <c r="F19" s="972" t="s">
        <v>231</v>
      </c>
      <c r="G19" s="973">
        <f>B22</f>
        <v>0</v>
      </c>
      <c r="H19" s="969"/>
    </row>
    <row r="20" spans="1:8" ht="13.5" thickBot="1">
      <c r="A20" s="1413" t="s">
        <v>232</v>
      </c>
      <c r="B20" s="1414"/>
      <c r="C20" s="981">
        <f>SUM(B21:B22)</f>
        <v>0</v>
      </c>
      <c r="D20" s="977"/>
      <c r="E20" s="967"/>
      <c r="F20" s="972" t="s">
        <v>110</v>
      </c>
      <c r="G20" s="973">
        <f>C23</f>
        <v>1</v>
      </c>
      <c r="H20" s="969"/>
    </row>
    <row r="21" spans="1:8" ht="12.75">
      <c r="A21" s="970" t="s">
        <v>230</v>
      </c>
      <c r="B21" s="1058"/>
      <c r="C21" s="1058"/>
      <c r="D21" s="967"/>
      <c r="E21" s="967"/>
      <c r="F21" s="967"/>
      <c r="G21" s="967"/>
      <c r="H21" s="982"/>
    </row>
    <row r="22" spans="1:8" ht="13.5" thickBot="1">
      <c r="A22" s="978" t="s">
        <v>231</v>
      </c>
      <c r="B22" s="1059"/>
      <c r="C22" s="1059"/>
      <c r="D22" s="967"/>
      <c r="E22" s="967"/>
      <c r="F22" s="967"/>
      <c r="G22" s="967"/>
      <c r="H22" s="982"/>
    </row>
    <row r="23" spans="1:8" ht="13.5" thickBot="1">
      <c r="A23" s="1413" t="s">
        <v>233</v>
      </c>
      <c r="B23" s="1414"/>
      <c r="C23" s="983">
        <f>1-C20-C18-C14-C10</f>
        <v>1</v>
      </c>
      <c r="D23" s="971"/>
      <c r="E23" s="967"/>
      <c r="F23" s="967"/>
      <c r="G23" s="967"/>
      <c r="H23" s="982"/>
    </row>
    <row r="24" spans="1:8" ht="13.5" thickBot="1">
      <c r="A24" s="978" t="s">
        <v>110</v>
      </c>
      <c r="B24" s="1223">
        <f>C23</f>
        <v>1</v>
      </c>
      <c r="C24" s="1224"/>
      <c r="D24" s="10"/>
      <c r="E24" s="10"/>
      <c r="F24" s="10"/>
      <c r="G24" s="10"/>
      <c r="H24" s="27"/>
    </row>
    <row r="25" spans="1:8" ht="13.5" thickBot="1">
      <c r="A25" s="8"/>
      <c r="B25" s="984">
        <f>IF(OR(C23&lt;0,(C10+C14+C18+C20+C23)&lt;1),"Values Do Not Equal 100%","")</f>
      </c>
      <c r="C25" s="10"/>
      <c r="D25" s="10"/>
      <c r="E25" s="10"/>
      <c r="F25" s="10"/>
      <c r="G25" s="10"/>
      <c r="H25" s="27"/>
    </row>
    <row r="26" spans="1:8" ht="13.5" thickBot="1">
      <c r="A26" s="8" t="s">
        <v>840</v>
      </c>
      <c r="B26" s="10"/>
      <c r="C26" s="72"/>
      <c r="D26" s="985">
        <f>IF(B25="Values Do Not Equal 100%",0,((B11*C11)+(B12*C12)+(B13*C13)+(B15*C15)+(B16*C16)+(B17*C17)+(B19*C19)+(B21*C21)+(B22*C22)+(B24*C24)))</f>
        <v>0</v>
      </c>
      <c r="E26" s="10"/>
      <c r="F26" s="10"/>
      <c r="G26" s="10"/>
      <c r="H26" s="27"/>
    </row>
    <row r="27" spans="1:8" ht="13.5" thickBot="1">
      <c r="A27" s="8" t="s">
        <v>661</v>
      </c>
      <c r="B27" s="10"/>
      <c r="C27" s="72"/>
      <c r="D27" s="986">
        <f>D26*(1-F4)</f>
        <v>0</v>
      </c>
      <c r="E27" s="1415" t="s">
        <v>243</v>
      </c>
      <c r="F27" s="1416"/>
      <c r="G27" s="1416"/>
      <c r="H27" s="1417"/>
    </row>
    <row r="28" spans="1:8" ht="12.75">
      <c r="A28" s="1284" t="s">
        <v>114</v>
      </c>
      <c r="B28" s="1285"/>
      <c r="C28" s="1408" t="str">
        <f>IF(B25="",IF((C10+C18)&gt;=0.8,"6: Aggressive Growth",IF((C10+C18)&gt;=0.6,"5: Growth",IF((C10+C18)&gt;=0.5,"4: Moderate Growth",IF((C10+C18)&gt;=0.4,"3: Balanced Growth",IF((C10+C18)&gt;=0.2,"2: Conservative Growth",IF((C10+C18)&gt;=0,"1: Income")))))))</f>
        <v>1: Income</v>
      </c>
      <c r="D28" s="1408"/>
      <c r="E28" s="10"/>
      <c r="F28" s="10"/>
      <c r="G28" s="10"/>
      <c r="H28" s="27"/>
    </row>
    <row r="29" spans="1:8" ht="13.5" thickBot="1">
      <c r="A29" s="987"/>
      <c r="B29" s="31"/>
      <c r="C29" s="31"/>
      <c r="D29" s="31"/>
      <c r="E29" s="31"/>
      <c r="F29" s="31"/>
      <c r="G29" s="31"/>
      <c r="H29" s="33"/>
    </row>
    <row r="30" spans="1:8" ht="14.25" thickBot="1" thickTop="1">
      <c r="A30" s="1439" t="s">
        <v>235</v>
      </c>
      <c r="B30" s="1440"/>
      <c r="C30" s="1440"/>
      <c r="D30" s="1440"/>
      <c r="E30" s="1440"/>
      <c r="F30" s="1440"/>
      <c r="G30" s="1440"/>
      <c r="H30" s="1441"/>
    </row>
    <row r="31" spans="1:9" ht="13.5" thickBot="1">
      <c r="A31" s="1411" t="s">
        <v>679</v>
      </c>
      <c r="B31" s="1412"/>
      <c r="C31" s="966">
        <f>SUM(B32:B34)</f>
        <v>0</v>
      </c>
      <c r="D31" s="967"/>
      <c r="E31" s="967"/>
      <c r="F31" s="968"/>
      <c r="G31" s="968"/>
      <c r="H31" s="988"/>
      <c r="I31" s="961"/>
    </row>
    <row r="32" spans="1:9" ht="12.75">
      <c r="A32" s="970" t="s">
        <v>224</v>
      </c>
      <c r="B32" s="1051"/>
      <c r="C32" s="1051"/>
      <c r="D32" s="971"/>
      <c r="E32" s="967"/>
      <c r="F32" s="967"/>
      <c r="G32" s="967"/>
      <c r="H32" s="982"/>
      <c r="I32" s="961"/>
    </row>
    <row r="33" spans="1:9" ht="12.75">
      <c r="A33" s="974" t="s">
        <v>225</v>
      </c>
      <c r="B33" s="1052"/>
      <c r="C33" s="1052"/>
      <c r="D33" s="971"/>
      <c r="E33" s="967"/>
      <c r="F33" s="972" t="s">
        <v>224</v>
      </c>
      <c r="G33" s="973">
        <f>B32</f>
        <v>0</v>
      </c>
      <c r="H33" s="969"/>
      <c r="I33" s="961"/>
    </row>
    <row r="34" spans="1:9" ht="13.5" thickBot="1">
      <c r="A34" s="975" t="s">
        <v>226</v>
      </c>
      <c r="B34" s="1053"/>
      <c r="C34" s="1053"/>
      <c r="D34" s="971"/>
      <c r="E34" s="967"/>
      <c r="F34" s="972" t="s">
        <v>225</v>
      </c>
      <c r="G34" s="973">
        <f>B33</f>
        <v>0</v>
      </c>
      <c r="H34" s="969"/>
      <c r="I34" s="961"/>
    </row>
    <row r="35" spans="1:9" ht="13.5" thickBot="1">
      <c r="A35" s="1413" t="s">
        <v>680</v>
      </c>
      <c r="B35" s="1414"/>
      <c r="C35" s="976">
        <f>SUM(B36:B38)</f>
        <v>0</v>
      </c>
      <c r="D35" s="967"/>
      <c r="E35" s="967"/>
      <c r="F35" s="972" t="s">
        <v>226</v>
      </c>
      <c r="G35" s="973">
        <f>B34</f>
        <v>0</v>
      </c>
      <c r="H35" s="969"/>
      <c r="I35" s="961"/>
    </row>
    <row r="36" spans="1:9" ht="12.75">
      <c r="A36" s="970" t="s">
        <v>228</v>
      </c>
      <c r="B36" s="1054"/>
      <c r="C36" s="1054"/>
      <c r="D36" s="971"/>
      <c r="E36" s="967"/>
      <c r="F36" s="972" t="s">
        <v>228</v>
      </c>
      <c r="G36" s="973">
        <f>B36</f>
        <v>0</v>
      </c>
      <c r="H36" s="969"/>
      <c r="I36" s="961"/>
    </row>
    <row r="37" spans="1:9" ht="12.75">
      <c r="A37" s="970" t="s">
        <v>227</v>
      </c>
      <c r="B37" s="1055"/>
      <c r="C37" s="1055"/>
      <c r="D37" s="971"/>
      <c r="E37" s="967"/>
      <c r="F37" s="972" t="s">
        <v>227</v>
      </c>
      <c r="G37" s="973">
        <f>B37</f>
        <v>0</v>
      </c>
      <c r="H37" s="969"/>
      <c r="I37" s="961"/>
    </row>
    <row r="38" spans="1:9" ht="13.5" thickBot="1">
      <c r="A38" s="978" t="s">
        <v>229</v>
      </c>
      <c r="B38" s="1056"/>
      <c r="C38" s="1056"/>
      <c r="D38" s="971"/>
      <c r="E38" s="967"/>
      <c r="F38" s="972" t="s">
        <v>229</v>
      </c>
      <c r="G38" s="973">
        <f>B38</f>
        <v>0</v>
      </c>
      <c r="H38" s="969"/>
      <c r="I38" s="961"/>
    </row>
    <row r="39" spans="1:9" ht="13.5" thickBot="1">
      <c r="A39" s="970"/>
      <c r="B39" s="979" t="s">
        <v>678</v>
      </c>
      <c r="C39" s="980">
        <f>B40</f>
        <v>0</v>
      </c>
      <c r="D39" s="971"/>
      <c r="E39" s="967"/>
      <c r="F39" s="972" t="s">
        <v>230</v>
      </c>
      <c r="G39" s="973">
        <f>B42</f>
        <v>0</v>
      </c>
      <c r="H39" s="969"/>
      <c r="I39" s="961"/>
    </row>
    <row r="40" spans="1:9" ht="13.5" thickBot="1">
      <c r="A40" s="970" t="s">
        <v>234</v>
      </c>
      <c r="B40" s="1057"/>
      <c r="C40" s="1057"/>
      <c r="D40" s="971"/>
      <c r="E40" s="967"/>
      <c r="F40" s="972" t="s">
        <v>234</v>
      </c>
      <c r="G40" s="973">
        <f>B40</f>
        <v>0</v>
      </c>
      <c r="H40" s="969"/>
      <c r="I40" s="961"/>
    </row>
    <row r="41" spans="1:9" ht="13.5" thickBot="1">
      <c r="A41" s="1413" t="s">
        <v>232</v>
      </c>
      <c r="B41" s="1414"/>
      <c r="C41" s="981">
        <f>SUM(B42:B43)</f>
        <v>0</v>
      </c>
      <c r="D41" s="971"/>
      <c r="E41" s="967"/>
      <c r="F41" s="972" t="s">
        <v>231</v>
      </c>
      <c r="G41" s="973">
        <f>B43</f>
        <v>0</v>
      </c>
      <c r="H41" s="969"/>
      <c r="I41" s="961"/>
    </row>
    <row r="42" spans="1:9" ht="12.75">
      <c r="A42" s="970" t="s">
        <v>230</v>
      </c>
      <c r="B42" s="1058"/>
      <c r="C42" s="1058"/>
      <c r="D42" s="967"/>
      <c r="E42" s="967"/>
      <c r="F42" s="972" t="s">
        <v>110</v>
      </c>
      <c r="G42" s="973">
        <f>C44</f>
        <v>1</v>
      </c>
      <c r="H42" s="969"/>
      <c r="I42" s="961"/>
    </row>
    <row r="43" spans="1:9" ht="13.5" thickBot="1">
      <c r="A43" s="978" t="s">
        <v>231</v>
      </c>
      <c r="B43" s="1059"/>
      <c r="C43" s="1059"/>
      <c r="D43" s="971"/>
      <c r="E43" s="967"/>
      <c r="F43" s="967"/>
      <c r="G43" s="967"/>
      <c r="H43" s="982"/>
      <c r="I43" s="961"/>
    </row>
    <row r="44" spans="1:9" ht="13.5" thickBot="1">
      <c r="A44" s="1413" t="s">
        <v>233</v>
      </c>
      <c r="B44" s="1414"/>
      <c r="C44" s="983">
        <f>1-C31-C35-C39-C41</f>
        <v>1</v>
      </c>
      <c r="D44" s="971"/>
      <c r="E44" s="967"/>
      <c r="F44" s="967"/>
      <c r="G44" s="967"/>
      <c r="H44" s="982"/>
      <c r="I44" s="961"/>
    </row>
    <row r="45" spans="1:8" ht="13.5" thickBot="1">
      <c r="A45" s="978" t="s">
        <v>110</v>
      </c>
      <c r="B45" s="1223">
        <f>C44</f>
        <v>1</v>
      </c>
      <c r="C45" s="1224"/>
      <c r="D45" s="10"/>
      <c r="E45" s="10"/>
      <c r="F45" s="10"/>
      <c r="G45" s="10"/>
      <c r="H45" s="27"/>
    </row>
    <row r="46" spans="1:8" ht="13.5" thickBot="1">
      <c r="A46" s="8"/>
      <c r="B46" s="984">
        <f>IF(OR(C44&lt;0,(C31+C35+C39+C41+C44)&lt;1),"Values Do Not Equal 100%","")</f>
      </c>
      <c r="C46" s="72"/>
      <c r="D46" s="10"/>
      <c r="E46" s="10"/>
      <c r="F46" s="10"/>
      <c r="G46" s="10"/>
      <c r="H46" s="27"/>
    </row>
    <row r="47" spans="1:8" ht="13.5" thickBot="1">
      <c r="A47" s="8" t="s">
        <v>840</v>
      </c>
      <c r="B47" s="10"/>
      <c r="C47" s="72"/>
      <c r="D47" s="985">
        <f>IF(B46="Values Do Not Equal 100%",0,((B32*C32)+(B33*C33)+(B34*C34)+(B36*C36)+(B37*C37)+(B38*C38)+(B40*C40)+(B42*C42)+(B43*C43)+(B45*C45)))</f>
        <v>0</v>
      </c>
      <c r="E47" s="10"/>
      <c r="F47" s="10"/>
      <c r="G47" s="10"/>
      <c r="H47" s="27"/>
    </row>
    <row r="48" spans="1:8" ht="13.5" thickBot="1">
      <c r="A48" s="8" t="s">
        <v>661</v>
      </c>
      <c r="B48" s="10"/>
      <c r="C48" s="72"/>
      <c r="D48" s="986">
        <f>D47*(1-F4)</f>
        <v>0</v>
      </c>
      <c r="E48" s="1415" t="s">
        <v>243</v>
      </c>
      <c r="F48" s="1416"/>
      <c r="G48" s="1416"/>
      <c r="H48" s="1417"/>
    </row>
    <row r="49" spans="1:9" ht="12.75">
      <c r="A49" s="1284" t="s">
        <v>114</v>
      </c>
      <c r="B49" s="1285"/>
      <c r="C49" s="1408" t="str">
        <f>IF(B46="",IF((C31+C39)&gt;=0.8,"6: Aggressive Growth",IF((C31+C39)&gt;=0.6,"5: Growth",IF((C31+C39)&gt;=0.5,"4: Moderate Growth",IF((C31+C39)&gt;=0.4,"3: Balanced Growth",IF((C31+C39)&gt;=0.2,"2: Conservative Growth",IF((C31+C39)&gt;=0,"1: Income")))))))</f>
        <v>1: Income</v>
      </c>
      <c r="D49" s="1408"/>
      <c r="E49" s="10"/>
      <c r="F49" s="10"/>
      <c r="G49" s="10"/>
      <c r="H49" s="27"/>
      <c r="I49" s="961"/>
    </row>
    <row r="50" spans="1:13" s="10" customFormat="1" ht="13.5" thickBot="1">
      <c r="A50" s="987"/>
      <c r="B50" s="31"/>
      <c r="C50" s="31"/>
      <c r="D50" s="31"/>
      <c r="E50" s="31"/>
      <c r="F50" s="31"/>
      <c r="G50" s="31"/>
      <c r="H50" s="33"/>
      <c r="I50" s="989"/>
      <c r="J50" s="391"/>
      <c r="K50" s="989"/>
      <c r="L50" s="989"/>
      <c r="M50" s="391"/>
    </row>
    <row r="51" spans="1:13" s="10" customFormat="1" ht="5.25" customHeight="1" thickBot="1">
      <c r="A51" s="990"/>
      <c r="I51" s="989"/>
      <c r="J51" s="391"/>
      <c r="K51" s="989"/>
      <c r="L51" s="989"/>
      <c r="M51" s="391"/>
    </row>
    <row r="52" spans="1:13" s="10" customFormat="1" ht="13.5" thickBot="1">
      <c r="A52" s="1240" t="s">
        <v>111</v>
      </c>
      <c r="B52" s="1241"/>
      <c r="C52" s="1241"/>
      <c r="D52" s="1241"/>
      <c r="E52" s="1241"/>
      <c r="F52" s="1241"/>
      <c r="G52" s="1241"/>
      <c r="H52" s="1242"/>
      <c r="I52" s="391"/>
      <c r="J52" s="391"/>
      <c r="K52" s="989"/>
      <c r="L52" s="989"/>
      <c r="M52" s="391"/>
    </row>
    <row r="53" spans="1:13" s="10" customFormat="1" ht="13.5" thickBot="1">
      <c r="A53" s="364" t="s">
        <v>386</v>
      </c>
      <c r="B53" s="55"/>
      <c r="C53" s="55"/>
      <c r="D53" s="587"/>
      <c r="E53" s="55"/>
      <c r="F53" s="55"/>
      <c r="G53" s="55"/>
      <c r="H53" s="56"/>
      <c r="I53" s="391"/>
      <c r="J53" s="391"/>
      <c r="K53" s="989"/>
      <c r="L53" s="989"/>
      <c r="M53" s="391"/>
    </row>
    <row r="54" spans="1:13" s="10" customFormat="1" ht="12.75">
      <c r="A54" s="8"/>
      <c r="B54" s="991" t="s">
        <v>389</v>
      </c>
      <c r="C54" s="657"/>
      <c r="E54" s="72"/>
      <c r="F54" s="857" t="s">
        <v>393</v>
      </c>
      <c r="G54" s="1048"/>
      <c r="H54" s="839"/>
      <c r="I54" s="391"/>
      <c r="J54" s="391"/>
      <c r="K54" s="989"/>
      <c r="L54" s="989"/>
      <c r="M54" s="391"/>
    </row>
    <row r="55" spans="1:13" s="10" customFormat="1" ht="12.75">
      <c r="A55" s="8"/>
      <c r="B55" s="991" t="s">
        <v>390</v>
      </c>
      <c r="C55" s="658"/>
      <c r="D55" s="205"/>
      <c r="F55" s="857" t="s">
        <v>813</v>
      </c>
      <c r="G55" s="1049"/>
      <c r="H55" s="839"/>
      <c r="I55" s="391"/>
      <c r="J55" s="391"/>
      <c r="K55" s="989"/>
      <c r="L55" s="989"/>
      <c r="M55" s="391"/>
    </row>
    <row r="56" spans="1:13" s="10" customFormat="1" ht="12.75">
      <c r="A56" s="8"/>
      <c r="B56" s="991" t="s">
        <v>407</v>
      </c>
      <c r="C56" s="658"/>
      <c r="E56" s="205"/>
      <c r="F56" s="857" t="s">
        <v>814</v>
      </c>
      <c r="G56" s="550"/>
      <c r="H56" s="839"/>
      <c r="I56" s="391"/>
      <c r="J56" s="391"/>
      <c r="K56" s="989"/>
      <c r="L56" s="989"/>
      <c r="M56" s="391"/>
    </row>
    <row r="57" spans="1:13" s="10" customFormat="1" ht="12.75">
      <c r="A57" s="8"/>
      <c r="B57" s="991" t="s">
        <v>388</v>
      </c>
      <c r="C57" s="658"/>
      <c r="D57" s="205"/>
      <c r="E57" s="205"/>
      <c r="F57" s="594" t="s">
        <v>510</v>
      </c>
      <c r="G57" s="1049"/>
      <c r="H57" s="839"/>
      <c r="I57" s="391"/>
      <c r="J57" s="391"/>
      <c r="K57" s="989"/>
      <c r="L57" s="989"/>
      <c r="M57" s="391"/>
    </row>
    <row r="58" spans="1:13" s="10" customFormat="1" ht="13.5" thickBot="1">
      <c r="A58" s="8"/>
      <c r="B58" s="991" t="s">
        <v>385</v>
      </c>
      <c r="C58" s="1047"/>
      <c r="D58" s="205"/>
      <c r="F58" s="857" t="s">
        <v>394</v>
      </c>
      <c r="G58" s="502">
        <f>MAX(0,G57-C5)</f>
        <v>0</v>
      </c>
      <c r="H58" s="839"/>
      <c r="I58" s="391"/>
      <c r="J58" s="391"/>
      <c r="K58" s="989"/>
      <c r="L58" s="989"/>
      <c r="M58" s="391"/>
    </row>
    <row r="59" spans="1:13" s="10" customFormat="1" ht="13.5" thickBot="1">
      <c r="A59" s="992"/>
      <c r="B59" s="204" t="s">
        <v>387</v>
      </c>
      <c r="C59" s="993">
        <f>SUM(C54:C58)</f>
        <v>0</v>
      </c>
      <c r="D59" s="205"/>
      <c r="E59" s="205"/>
      <c r="H59" s="839"/>
      <c r="I59" s="391"/>
      <c r="J59" s="391"/>
      <c r="K59" s="989"/>
      <c r="L59" s="989"/>
      <c r="M59" s="391"/>
    </row>
    <row r="60" spans="1:13" s="10" customFormat="1" ht="13.5" thickBot="1">
      <c r="A60" s="838"/>
      <c r="B60" s="205"/>
      <c r="C60" s="205"/>
      <c r="D60" s="205"/>
      <c r="E60" s="205"/>
      <c r="F60" s="994" t="s">
        <v>117</v>
      </c>
      <c r="G60" s="564"/>
      <c r="H60" s="839"/>
      <c r="I60" s="391"/>
      <c r="J60" s="391"/>
      <c r="K60" s="989"/>
      <c r="L60" s="989"/>
      <c r="M60" s="391"/>
    </row>
    <row r="61" spans="1:13" s="10" customFormat="1" ht="13.5" thickBot="1">
      <c r="A61" s="995"/>
      <c r="B61" s="816"/>
      <c r="C61" s="816"/>
      <c r="D61" s="816"/>
      <c r="E61" s="816"/>
      <c r="F61" s="996"/>
      <c r="G61" s="997"/>
      <c r="H61" s="998"/>
      <c r="I61" s="391"/>
      <c r="J61" s="391"/>
      <c r="K61" s="989"/>
      <c r="L61" s="989"/>
      <c r="M61" s="391"/>
    </row>
    <row r="62" spans="1:13" s="10" customFormat="1" ht="14.25" thickBot="1" thickTop="1">
      <c r="A62" s="999" t="s">
        <v>402</v>
      </c>
      <c r="B62" s="805"/>
      <c r="C62" s="205"/>
      <c r="D62" s="205"/>
      <c r="E62" s="205"/>
      <c r="F62" s="204"/>
      <c r="G62" s="1000"/>
      <c r="H62" s="839"/>
      <c r="I62" s="391"/>
      <c r="J62" s="391"/>
      <c r="K62" s="989"/>
      <c r="L62" s="989"/>
      <c r="M62" s="391"/>
    </row>
    <row r="63" spans="1:13" s="10" customFormat="1" ht="13.5" thickBot="1">
      <c r="A63" s="102"/>
      <c r="B63" s="204"/>
      <c r="C63" s="204"/>
      <c r="D63" s="1001" t="s">
        <v>408</v>
      </c>
      <c r="E63" s="1433" t="s">
        <v>841</v>
      </c>
      <c r="F63" s="1434"/>
      <c r="H63" s="1002"/>
      <c r="I63" s="391"/>
      <c r="J63" s="391"/>
      <c r="K63" s="989"/>
      <c r="L63" s="989"/>
      <c r="M63" s="391"/>
    </row>
    <row r="64" spans="1:13" s="10" customFormat="1" ht="12.75">
      <c r="A64" s="1003"/>
      <c r="B64" s="57"/>
      <c r="C64" s="70" t="s">
        <v>842</v>
      </c>
      <c r="D64" s="70" t="s">
        <v>409</v>
      </c>
      <c r="E64" s="1004" t="s">
        <v>403</v>
      </c>
      <c r="G64" s="1005"/>
      <c r="H64" s="1002"/>
      <c r="I64" s="391"/>
      <c r="J64" s="391"/>
      <c r="K64" s="989"/>
      <c r="L64" s="989"/>
      <c r="M64" s="965"/>
    </row>
    <row r="65" spans="1:13" s="10" customFormat="1" ht="12.75">
      <c r="A65" s="1003"/>
      <c r="B65" s="991" t="s">
        <v>404</v>
      </c>
      <c r="C65" s="1006">
        <f>D26</f>
        <v>0</v>
      </c>
      <c r="D65" s="1050"/>
      <c r="E65" s="1007">
        <f>IF($E$63="Portfolio Average",C65,D65)</f>
        <v>0</v>
      </c>
      <c r="H65" s="839"/>
      <c r="I65" s="391"/>
      <c r="J65" s="391"/>
      <c r="K65" s="989"/>
      <c r="L65" s="989"/>
      <c r="M65" s="965"/>
    </row>
    <row r="66" spans="1:13" s="10" customFormat="1" ht="12.75">
      <c r="A66" s="1003"/>
      <c r="B66" s="991" t="s">
        <v>405</v>
      </c>
      <c r="C66" s="1006">
        <f>D47</f>
        <v>0</v>
      </c>
      <c r="D66" s="1050"/>
      <c r="E66" s="1007">
        <f>IF($E$63="Portfolio Average",C66,D66)</f>
        <v>0</v>
      </c>
      <c r="H66" s="839"/>
      <c r="I66" s="391"/>
      <c r="J66" s="391"/>
      <c r="K66" s="989"/>
      <c r="L66" s="989"/>
      <c r="M66" s="965"/>
    </row>
    <row r="67" spans="1:13" s="10" customFormat="1" ht="13.5" thickBot="1">
      <c r="A67" s="1008">
        <f>IF(E63="","Please choose return information before continuing.","")</f>
      </c>
      <c r="B67" s="816"/>
      <c r="C67" s="816"/>
      <c r="D67" s="92"/>
      <c r="E67" s="1009"/>
      <c r="F67" s="816"/>
      <c r="G67" s="816"/>
      <c r="H67" s="1010">
        <f>IF(AND(E63="User-defined",OR(D65="",D66="")),"Please enter return data in D67 and D68.","")</f>
      </c>
      <c r="I67" s="391"/>
      <c r="J67" s="391"/>
      <c r="K67" s="989"/>
      <c r="L67" s="989"/>
      <c r="M67" s="391"/>
    </row>
    <row r="68" spans="1:13" s="10" customFormat="1" ht="13.5" customHeight="1" thickTop="1">
      <c r="A68" s="364" t="s">
        <v>412</v>
      </c>
      <c r="B68" s="205"/>
      <c r="C68" s="205"/>
      <c r="D68" s="57"/>
      <c r="E68" s="908"/>
      <c r="F68" s="1011"/>
      <c r="G68" s="205"/>
      <c r="H68" s="839"/>
      <c r="I68" s="391"/>
      <c r="J68" s="391"/>
      <c r="K68" s="989"/>
      <c r="L68" s="989"/>
      <c r="M68" s="391"/>
    </row>
    <row r="69" spans="1:13" s="10" customFormat="1" ht="12.75" customHeight="1">
      <c r="A69" s="8"/>
      <c r="B69" s="205"/>
      <c r="C69" s="1442" t="s">
        <v>401</v>
      </c>
      <c r="D69" s="1443" t="s">
        <v>400</v>
      </c>
      <c r="E69" s="1435" t="s">
        <v>399</v>
      </c>
      <c r="F69" s="736"/>
      <c r="G69" s="207"/>
      <c r="H69" s="839"/>
      <c r="I69" s="391"/>
      <c r="J69" s="391"/>
      <c r="K69" s="989"/>
      <c r="L69" s="989"/>
      <c r="M69" s="391"/>
    </row>
    <row r="70" spans="1:13" s="10" customFormat="1" ht="12.75" customHeight="1">
      <c r="A70" s="364"/>
      <c r="B70" s="205"/>
      <c r="C70" s="1442"/>
      <c r="D70" s="1443"/>
      <c r="E70" s="1435"/>
      <c r="F70" s="736"/>
      <c r="G70" s="205"/>
      <c r="H70" s="839"/>
      <c r="I70" s="391"/>
      <c r="J70" s="391"/>
      <c r="K70" s="989"/>
      <c r="L70" s="989"/>
      <c r="M70" s="391"/>
    </row>
    <row r="71" spans="1:13" s="10" customFormat="1" ht="13.5" thickBot="1">
      <c r="A71" s="1423" t="s">
        <v>396</v>
      </c>
      <c r="B71" s="1424"/>
      <c r="C71" s="1431"/>
      <c r="D71" s="1444"/>
      <c r="E71" s="1436"/>
      <c r="F71" s="736"/>
      <c r="G71" s="1431" t="s">
        <v>397</v>
      </c>
      <c r="H71" s="1432"/>
      <c r="I71" s="391"/>
      <c r="J71" s="391"/>
      <c r="K71" s="989"/>
      <c r="L71" s="989"/>
      <c r="M71" s="391"/>
    </row>
    <row r="72" spans="1:13" s="10" customFormat="1" ht="12.75">
      <c r="A72" s="1425" t="s">
        <v>389</v>
      </c>
      <c r="B72" s="1426"/>
      <c r="C72" s="1012">
        <f>'Dedicated Exp'!F9+'Dedicated Exp'!G9</f>
        <v>0</v>
      </c>
      <c r="D72" s="1060"/>
      <c r="E72" s="1061"/>
      <c r="F72" s="1013"/>
      <c r="G72" s="1429">
        <f>IF(E65=0,0,(C72+D72)*((1+$E$65)^$H$5-(1+E72)^$H$5)/($E$65-E72)-FV($E$65,$H$5,0,C54))</f>
        <v>0</v>
      </c>
      <c r="H72" s="1430"/>
      <c r="I72" s="391"/>
      <c r="J72" s="391"/>
      <c r="K72" s="989"/>
      <c r="L72" s="989"/>
      <c r="M72" s="391"/>
    </row>
    <row r="73" spans="1:13" s="10" customFormat="1" ht="12.75">
      <c r="A73" s="1425" t="s">
        <v>390</v>
      </c>
      <c r="B73" s="1426"/>
      <c r="C73" s="546"/>
      <c r="D73" s="613"/>
      <c r="E73" s="1014" t="s">
        <v>100</v>
      </c>
      <c r="F73" s="1013"/>
      <c r="G73" s="1427">
        <f>-FV(E65,H5,(C73+D73),C55)</f>
        <v>0</v>
      </c>
      <c r="H73" s="1428"/>
      <c r="I73" s="391"/>
      <c r="J73" s="391"/>
      <c r="K73" s="989"/>
      <c r="L73" s="989"/>
      <c r="M73" s="391"/>
    </row>
    <row r="74" spans="1:13" s="10" customFormat="1" ht="12.75">
      <c r="A74" s="1425" t="s">
        <v>407</v>
      </c>
      <c r="B74" s="1426"/>
      <c r="C74" s="546"/>
      <c r="D74" s="613"/>
      <c r="E74" s="1062"/>
      <c r="F74" s="1013"/>
      <c r="G74" s="1427">
        <f>IF(E65=0,0,(C74+D74)*((1+$E$65)^$H$5-(1+E74)^$H$5)/($E$65-E74)-FV($E$65,$H$5,0,C56))</f>
        <v>0</v>
      </c>
      <c r="H74" s="1428"/>
      <c r="I74" s="391"/>
      <c r="J74" s="391"/>
      <c r="K74" s="989"/>
      <c r="L74" s="989"/>
      <c r="M74" s="391"/>
    </row>
    <row r="75" spans="1:13" s="10" customFormat="1" ht="12.75">
      <c r="A75" s="1425" t="s">
        <v>388</v>
      </c>
      <c r="B75" s="1426"/>
      <c r="C75" s="546"/>
      <c r="D75" s="1015" t="s">
        <v>100</v>
      </c>
      <c r="E75" s="1014" t="s">
        <v>100</v>
      </c>
      <c r="F75" s="1013"/>
      <c r="G75" s="1427">
        <f>-FV($E$65,$H$5,C75,C57)</f>
        <v>0</v>
      </c>
      <c r="H75" s="1428"/>
      <c r="I75" s="391"/>
      <c r="J75" s="391"/>
      <c r="K75" s="989"/>
      <c r="L75" s="989"/>
      <c r="M75" s="391"/>
    </row>
    <row r="76" spans="1:13" s="10" customFormat="1" ht="13.5" thickBot="1">
      <c r="A76" s="1425" t="s">
        <v>385</v>
      </c>
      <c r="B76" s="1426"/>
      <c r="C76" s="547"/>
      <c r="D76" s="1016" t="s">
        <v>100</v>
      </c>
      <c r="E76" s="1017" t="s">
        <v>100</v>
      </c>
      <c r="F76" s="1013"/>
      <c r="G76" s="1437">
        <f>-FV($E$65,$H$5,C76,C58)</f>
        <v>0</v>
      </c>
      <c r="H76" s="1438"/>
      <c r="I76" s="391"/>
      <c r="J76" s="391"/>
      <c r="K76" s="989"/>
      <c r="L76" s="989"/>
      <c r="M76" s="391"/>
    </row>
    <row r="77" spans="1:13" s="10" customFormat="1" ht="13.5" thickBot="1">
      <c r="A77" s="838"/>
      <c r="B77" s="204" t="s">
        <v>406</v>
      </c>
      <c r="C77" s="1018">
        <f>SUM(C72:C76)</f>
        <v>0</v>
      </c>
      <c r="D77" s="57"/>
      <c r="F77" s="205"/>
      <c r="G77" s="205"/>
      <c r="H77" s="839"/>
      <c r="I77" s="391"/>
      <c r="J77" s="391"/>
      <c r="K77" s="989"/>
      <c r="L77" s="989"/>
      <c r="M77" s="391"/>
    </row>
    <row r="78" spans="1:13" s="10" customFormat="1" ht="13.5" thickBot="1">
      <c r="A78" s="995"/>
      <c r="B78" s="816"/>
      <c r="C78" s="816"/>
      <c r="D78" s="92"/>
      <c r="E78" s="1009"/>
      <c r="F78" s="816"/>
      <c r="G78" s="816"/>
      <c r="H78" s="998"/>
      <c r="I78" s="391"/>
      <c r="J78" s="391"/>
      <c r="K78" s="989"/>
      <c r="L78" s="989"/>
      <c r="M78" s="391"/>
    </row>
    <row r="79" spans="1:13" s="10" customFormat="1" ht="14.25" thickBot="1" thickTop="1">
      <c r="A79" s="395" t="s">
        <v>413</v>
      </c>
      <c r="B79" s="55"/>
      <c r="C79" s="55"/>
      <c r="D79" s="55"/>
      <c r="E79" s="55"/>
      <c r="F79" s="55"/>
      <c r="G79" s="55"/>
      <c r="H79" s="56"/>
      <c r="I79" s="391"/>
      <c r="J79" s="391"/>
      <c r="K79" s="989"/>
      <c r="L79" s="989"/>
      <c r="M79" s="391"/>
    </row>
    <row r="80" spans="1:13" s="10" customFormat="1" ht="13.5" thickBot="1">
      <c r="A80" s="856"/>
      <c r="B80" s="205"/>
      <c r="C80" s="205"/>
      <c r="D80" s="205"/>
      <c r="E80" s="991" t="s">
        <v>392</v>
      </c>
      <c r="F80" s="1019">
        <f>MAX(0,G55-C5)</f>
        <v>0</v>
      </c>
      <c r="G80" s="205"/>
      <c r="H80" s="839"/>
      <c r="I80" s="391"/>
      <c r="J80" s="391"/>
      <c r="K80" s="989"/>
      <c r="L80" s="989"/>
      <c r="M80" s="391"/>
    </row>
    <row r="81" spans="1:13" s="10" customFormat="1" ht="12.75">
      <c r="A81" s="856"/>
      <c r="B81" s="204" t="s">
        <v>411</v>
      </c>
      <c r="C81" s="1020">
        <f>D8*G54</f>
        <v>0</v>
      </c>
      <c r="D81" s="251"/>
      <c r="E81" s="991"/>
      <c r="F81" s="207"/>
      <c r="G81" s="205"/>
      <c r="H81" s="839"/>
      <c r="I81" s="391"/>
      <c r="J81" s="391"/>
      <c r="K81" s="989"/>
      <c r="L81" s="989"/>
      <c r="M81" s="391"/>
    </row>
    <row r="82" spans="1:13" s="10" customFormat="1" ht="13.5" thickBot="1">
      <c r="A82" s="8"/>
      <c r="B82" s="89" t="s">
        <v>55</v>
      </c>
      <c r="C82" s="205"/>
      <c r="D82" s="1021">
        <f>SUM(G72:H76)</f>
        <v>0</v>
      </c>
      <c r="E82" s="205"/>
      <c r="F82" s="205"/>
      <c r="H82" s="839"/>
      <c r="I82" s="391"/>
      <c r="J82" s="391"/>
      <c r="K82" s="989"/>
      <c r="L82" s="989"/>
      <c r="M82" s="391"/>
    </row>
    <row r="83" spans="1:13" s="10" customFormat="1" ht="13.5" thickBot="1">
      <c r="A83" s="8"/>
      <c r="B83" s="10" t="s">
        <v>410</v>
      </c>
      <c r="C83" s="205"/>
      <c r="D83" s="1022">
        <f>IF(E66=0,0,$C$81*(1-((1+$D$6)/(1+$E$66))^$F$80)/(1-(1+$D$6)/(1+$E$66)))</f>
        <v>0</v>
      </c>
      <c r="E83" s="205"/>
      <c r="F83" s="205"/>
      <c r="G83" s="205"/>
      <c r="H83" s="839"/>
      <c r="I83" s="391"/>
      <c r="J83" s="391"/>
      <c r="K83" s="989"/>
      <c r="L83" s="989"/>
      <c r="M83" s="391"/>
    </row>
    <row r="84" spans="1:13" s="10" customFormat="1" ht="12.75">
      <c r="A84" s="8"/>
      <c r="B84" s="205"/>
      <c r="C84" s="205"/>
      <c r="D84" s="1023">
        <f>$D$82-$D$83</f>
        <v>0</v>
      </c>
      <c r="E84" s="205"/>
      <c r="F84" s="205"/>
      <c r="G84" s="205"/>
      <c r="H84" s="839"/>
      <c r="I84" s="391"/>
      <c r="J84" s="391"/>
      <c r="K84" s="989"/>
      <c r="L84" s="989"/>
      <c r="M84" s="391"/>
    </row>
    <row r="85" spans="1:13" s="10" customFormat="1" ht="12.75">
      <c r="A85" s="8"/>
      <c r="B85" s="205"/>
      <c r="C85" s="1024" t="str">
        <f>IF($D$82&gt;$D$83,"The Client May Exceed the Goal By","The Client May Fall Short the Goal By")</f>
        <v>The Client May Fall Short the Goal By</v>
      </c>
      <c r="D85" s="1025">
        <f>ABS($D$82-$D$83)</f>
        <v>0</v>
      </c>
      <c r="E85" s="205"/>
      <c r="F85" s="205"/>
      <c r="G85" s="205"/>
      <c r="H85" s="839"/>
      <c r="I85" s="391"/>
      <c r="J85" s="391"/>
      <c r="K85" s="989"/>
      <c r="L85" s="989"/>
      <c r="M85" s="391"/>
    </row>
    <row r="86" spans="1:8" ht="13.5" thickBot="1">
      <c r="A86" s="732"/>
      <c r="B86" s="89"/>
      <c r="C86" s="89"/>
      <c r="D86" s="1026"/>
      <c r="E86" s="89"/>
      <c r="F86" s="89"/>
      <c r="G86" s="204"/>
      <c r="H86" s="1027"/>
    </row>
    <row r="87" spans="1:12" ht="14.25" thickBot="1" thickTop="1">
      <c r="A87" s="1028" t="s">
        <v>414</v>
      </c>
      <c r="B87" s="1029"/>
      <c r="C87" s="804"/>
      <c r="D87" s="1030"/>
      <c r="E87" s="804"/>
      <c r="F87" s="804"/>
      <c r="G87" s="804"/>
      <c r="H87" s="1031"/>
      <c r="J87" s="1032" t="s">
        <v>841</v>
      </c>
      <c r="L87" s="961">
        <v>0</v>
      </c>
    </row>
    <row r="88" spans="1:12" ht="13.5" thickBot="1">
      <c r="A88" s="732"/>
      <c r="B88" s="89"/>
      <c r="C88" s="89"/>
      <c r="D88" s="1026"/>
      <c r="E88" s="991" t="s">
        <v>395</v>
      </c>
      <c r="F88" s="1019">
        <f>MAX(0,G58-F80)</f>
        <v>0</v>
      </c>
      <c r="G88" s="736"/>
      <c r="H88" s="1033"/>
      <c r="J88" s="407" t="s">
        <v>409</v>
      </c>
      <c r="K88" s="961">
        <v>0</v>
      </c>
      <c r="L88" s="961">
        <v>0.01</v>
      </c>
    </row>
    <row r="89" spans="1:12" ht="12.75">
      <c r="A89" s="732"/>
      <c r="B89" s="204" t="s">
        <v>411</v>
      </c>
      <c r="C89" s="1034">
        <f>C81*((1+D6)^F80)-(-FV(D6,H5+F80,0,G56))</f>
        <v>0</v>
      </c>
      <c r="D89" s="1026"/>
      <c r="E89" s="991"/>
      <c r="F89" s="207"/>
      <c r="G89" s="736"/>
      <c r="H89" s="1033"/>
      <c r="K89" s="961">
        <v>0.1</v>
      </c>
      <c r="L89" s="961">
        <v>0.02</v>
      </c>
    </row>
    <row r="90" spans="1:12" ht="13.5" thickBot="1">
      <c r="A90" s="732"/>
      <c r="B90" s="89" t="s">
        <v>55</v>
      </c>
      <c r="C90" s="10"/>
      <c r="D90" s="1021">
        <f>D84</f>
        <v>0</v>
      </c>
      <c r="E90" s="1035"/>
      <c r="F90" s="860"/>
      <c r="G90" s="10"/>
      <c r="H90" s="1036"/>
      <c r="K90" s="961">
        <v>0.2</v>
      </c>
      <c r="L90" s="961">
        <v>0.03</v>
      </c>
    </row>
    <row r="91" spans="1:12" ht="13.5" thickBot="1">
      <c r="A91" s="8"/>
      <c r="B91" s="10" t="s">
        <v>410</v>
      </c>
      <c r="C91" s="10"/>
      <c r="D91" s="1022">
        <f>IF(E66=0,0,C89*(1-((1+$D$6)/(1+$E$66))^$F$88)/(1-(1+$D$6)/(1+$E$66)))</f>
        <v>0</v>
      </c>
      <c r="E91" s="860"/>
      <c r="F91" s="860"/>
      <c r="G91" s="860"/>
      <c r="H91" s="1036"/>
      <c r="K91" s="961">
        <v>0.3</v>
      </c>
      <c r="L91" s="961">
        <v>0.04</v>
      </c>
    </row>
    <row r="92" spans="1:12" ht="12.75">
      <c r="A92" s="8"/>
      <c r="B92" s="10"/>
      <c r="C92" s="10"/>
      <c r="D92" s="1037">
        <f>($D$91-$D$90)</f>
        <v>0</v>
      </c>
      <c r="E92" s="1038"/>
      <c r="F92" s="10"/>
      <c r="G92" s="10"/>
      <c r="H92" s="27"/>
      <c r="K92" s="961">
        <v>0.4</v>
      </c>
      <c r="L92" s="961">
        <v>0.05</v>
      </c>
    </row>
    <row r="93" spans="1:12" ht="12.75">
      <c r="A93" s="8"/>
      <c r="B93" s="10"/>
      <c r="C93" s="1024" t="str">
        <f>IF($D$90&gt;$D$91,"The Client May Exceed the Goal By","The Client May Fall Short the Goal By")</f>
        <v>The Client May Fall Short the Goal By</v>
      </c>
      <c r="D93" s="14">
        <f>ABS(D90-D91)</f>
        <v>0</v>
      </c>
      <c r="E93" s="10"/>
      <c r="F93" s="10"/>
      <c r="G93" s="10"/>
      <c r="H93" s="1039"/>
      <c r="K93" s="961">
        <v>0.5</v>
      </c>
      <c r="L93" s="961">
        <v>0.06</v>
      </c>
    </row>
    <row r="94" spans="1:12" ht="13.5" thickBot="1">
      <c r="A94" s="1040"/>
      <c r="B94" s="41"/>
      <c r="C94" s="41"/>
      <c r="D94" s="1041"/>
      <c r="E94" s="41"/>
      <c r="F94" s="41"/>
      <c r="G94" s="41"/>
      <c r="H94" s="1042"/>
      <c r="K94" s="961">
        <v>0.6</v>
      </c>
      <c r="L94" s="961">
        <v>0.07</v>
      </c>
    </row>
    <row r="95" spans="1:12" ht="13.5" thickTop="1">
      <c r="A95" s="96" t="s">
        <v>398</v>
      </c>
      <c r="B95" s="10"/>
      <c r="C95" s="101"/>
      <c r="D95" s="10"/>
      <c r="E95" s="1043" t="s">
        <v>214</v>
      </c>
      <c r="F95" s="1043"/>
      <c r="G95" s="205" t="s">
        <v>215</v>
      </c>
      <c r="H95" s="27"/>
      <c r="K95" s="961">
        <v>0.7</v>
      </c>
      <c r="L95" s="961">
        <v>0.08</v>
      </c>
    </row>
    <row r="96" spans="1:12" ht="13.5" thickBot="1">
      <c r="A96" s="1284" t="s">
        <v>113</v>
      </c>
      <c r="B96" s="1285"/>
      <c r="C96" s="1285"/>
      <c r="D96" s="1285"/>
      <c r="E96" s="1044">
        <f>IF(D92&lt;=0,0,PMT(E65/12,H5*12,0,D92*(-1),0))</f>
        <v>0</v>
      </c>
      <c r="F96" s="1045" t="s">
        <v>82</v>
      </c>
      <c r="G96" s="1044">
        <f>IF(D92&lt;=0,0,PMT(E65,H5,0,D92*(-1),0))</f>
        <v>0</v>
      </c>
      <c r="H96" s="27"/>
      <c r="K96" s="961">
        <v>0.8</v>
      </c>
      <c r="L96" s="961">
        <v>0.09</v>
      </c>
    </row>
    <row r="97" spans="1:12" ht="13.5" thickBot="1">
      <c r="A97" s="503" t="s">
        <v>112</v>
      </c>
      <c r="B97" s="555"/>
      <c r="C97" s="236" t="s">
        <v>607</v>
      </c>
      <c r="D97" s="236"/>
      <c r="E97" s="1044" t="str">
        <f>IF(H5&lt;=B97,"N/A",IF(D92&lt;=0,0,PMT(E65/12,($H$5-B97)*12,0,$D$92*(-1),0)))</f>
        <v>N/A</v>
      </c>
      <c r="F97" s="1045" t="s">
        <v>82</v>
      </c>
      <c r="G97" s="1044" t="str">
        <f>IF(H5&lt;=B97,"N/A",IF(D92&lt;=0,0,PMT(E65,($H$5-B97),0,$D$92*(-1),0)))</f>
        <v>N/A</v>
      </c>
      <c r="H97" s="27"/>
      <c r="K97" s="961">
        <v>1</v>
      </c>
      <c r="L97" s="961">
        <v>0.1</v>
      </c>
    </row>
    <row r="98" spans="1:8" ht="13.5" thickBot="1">
      <c r="A98" s="30"/>
      <c r="B98" s="31"/>
      <c r="C98" s="31"/>
      <c r="D98" s="31"/>
      <c r="E98" s="31"/>
      <c r="F98" s="31"/>
      <c r="G98" s="31"/>
      <c r="H98" s="33"/>
    </row>
  </sheetData>
  <sheetProtection/>
  <mergeCells count="39">
    <mergeCell ref="A31:B31"/>
    <mergeCell ref="A20:B20"/>
    <mergeCell ref="A30:H30"/>
    <mergeCell ref="A23:B23"/>
    <mergeCell ref="A41:B41"/>
    <mergeCell ref="C69:C71"/>
    <mergeCell ref="D69:D71"/>
    <mergeCell ref="A35:B35"/>
    <mergeCell ref="A44:B44"/>
    <mergeCell ref="G72:H72"/>
    <mergeCell ref="G71:H71"/>
    <mergeCell ref="E48:H48"/>
    <mergeCell ref="E63:F63"/>
    <mergeCell ref="E69:E71"/>
    <mergeCell ref="A76:B76"/>
    <mergeCell ref="A73:B73"/>
    <mergeCell ref="G76:H76"/>
    <mergeCell ref="G74:H74"/>
    <mergeCell ref="G73:H73"/>
    <mergeCell ref="A8:C8"/>
    <mergeCell ref="A96:D96"/>
    <mergeCell ref="A52:H52"/>
    <mergeCell ref="A49:B49"/>
    <mergeCell ref="C49:D49"/>
    <mergeCell ref="A71:B71"/>
    <mergeCell ref="A72:B72"/>
    <mergeCell ref="A75:B75"/>
    <mergeCell ref="A74:B74"/>
    <mergeCell ref="G75:H75"/>
    <mergeCell ref="A1:H1"/>
    <mergeCell ref="A9:H9"/>
    <mergeCell ref="A28:B28"/>
    <mergeCell ref="C28:D28"/>
    <mergeCell ref="A4:B5"/>
    <mergeCell ref="A10:B10"/>
    <mergeCell ref="A14:B14"/>
    <mergeCell ref="E27:H27"/>
    <mergeCell ref="A6:C6"/>
    <mergeCell ref="A7:C7"/>
  </mergeCells>
  <dataValidations count="5">
    <dataValidation errorStyle="warning" showInputMessage="1" showErrorMessage="1" error="You enter a valid choice for this worksheet to function correctly" sqref="G61:G62"/>
    <dataValidation type="list" allowBlank="1" showInputMessage="1" showErrorMessage="1" sqref="E72 E74">
      <formula1>$L$87:$L$97</formula1>
    </dataValidation>
    <dataValidation errorStyle="warning" type="list" showInputMessage="1" showErrorMessage="1" error="You enter a valid choice for this worksheet to function correctly" sqref="G60">
      <formula1>$K$88:$K$97</formula1>
    </dataValidation>
    <dataValidation errorStyle="warning" type="list" showInputMessage="1" showErrorMessage="1" error="You enter a valid choice for this worksheet to function correctly" sqref="F4">
      <formula1>$J$3:$J$8</formula1>
    </dataValidation>
    <dataValidation type="list" allowBlank="1" showInputMessage="1" showErrorMessage="1" sqref="E63:F63">
      <formula1>J86:J88</formula1>
    </dataValidation>
  </dataValidations>
  <printOptions horizontalCentered="1"/>
  <pageMargins left="0.75" right="0.75" top="0.75" bottom="0.75" header="0.5" footer="0.5"/>
  <pageSetup horizontalDpi="300" verticalDpi="300" orientation="portrait" r:id="rId4"/>
  <headerFooter alignWithMargins="0">
    <oddFooter>&amp;LRetirement Need Estimator&amp;R&amp;P</oddFooter>
  </headerFooter>
  <ignoredErrors>
    <ignoredError sqref="G17 G73" formula="1"/>
    <ignoredError sqref="C10 C14 C31 C35 C59 C77" unlockedFormula="1"/>
    <ignoredError sqref="C90:C93 C82:C88 D84:D88 D82 D90 D92:D93" evalError="1"/>
  </ignoredErrors>
  <drawing r:id="rId3"/>
  <legacyDrawing r:id="rId2"/>
</worksheet>
</file>

<file path=xl/worksheets/sheet15.xml><?xml version="1.0" encoding="utf-8"?>
<worksheet xmlns="http://schemas.openxmlformats.org/spreadsheetml/2006/main" xmlns:r="http://schemas.openxmlformats.org/officeDocument/2006/relationships">
  <sheetPr codeName="Sheet10">
    <tabColor indexed="60"/>
  </sheetPr>
  <dimension ref="A1:K92"/>
  <sheetViews>
    <sheetView zoomScalePageLayoutView="0" workbookViewId="0" topLeftCell="A1">
      <selection activeCell="D3" sqref="D3"/>
    </sheetView>
  </sheetViews>
  <sheetFormatPr defaultColWidth="9.140625" defaultRowHeight="12.75"/>
  <cols>
    <col min="1" max="2" width="3.7109375" style="11" customWidth="1"/>
    <col min="3" max="3" width="39.7109375" style="11" customWidth="1"/>
    <col min="4" max="4" width="13.7109375" style="11" customWidth="1"/>
    <col min="5" max="5" width="3.7109375" style="11" customWidth="1"/>
    <col min="6" max="6" width="13.7109375" style="11" customWidth="1"/>
    <col min="7" max="7" width="3.7109375" style="11" customWidth="1"/>
    <col min="8" max="8" width="3.7109375" style="637" customWidth="1"/>
    <col min="9" max="16384" width="9.140625" style="11" customWidth="1"/>
  </cols>
  <sheetData>
    <row r="1" spans="1:8" ht="12.75" customHeight="1" thickBot="1">
      <c r="A1" s="1240" t="s">
        <v>675</v>
      </c>
      <c r="B1" s="1241"/>
      <c r="C1" s="1241"/>
      <c r="D1" s="1241"/>
      <c r="E1" s="1241"/>
      <c r="F1" s="1241"/>
      <c r="G1" s="1241"/>
      <c r="H1" s="1242"/>
    </row>
    <row r="2" spans="1:8" ht="12.75" customHeight="1" thickBot="1">
      <c r="A2" s="1240" t="s">
        <v>508</v>
      </c>
      <c r="B2" s="1241"/>
      <c r="C2" s="1241"/>
      <c r="D2" s="1241"/>
      <c r="E2" s="1241"/>
      <c r="F2" s="1241"/>
      <c r="G2" s="1241"/>
      <c r="H2" s="1242"/>
    </row>
    <row r="3" spans="1:11" ht="12.75" customHeight="1" thickBot="1">
      <c r="A3" s="426"/>
      <c r="B3" s="1063"/>
      <c r="C3" s="1064">
        <f>IF(D3="","Enter year of first death =&gt;","")</f>
      </c>
      <c r="D3" s="1160">
        <v>2010</v>
      </c>
      <c r="E3" s="1065"/>
      <c r="F3" s="1065"/>
      <c r="G3" s="1065"/>
      <c r="H3" s="836"/>
      <c r="K3" s="10"/>
    </row>
    <row r="4" spans="1:11" ht="12.75" customHeight="1">
      <c r="A4" s="349"/>
      <c r="B4" s="1446"/>
      <c r="C4" s="1447"/>
      <c r="D4" s="1066" t="s">
        <v>343</v>
      </c>
      <c r="E4" s="1067"/>
      <c r="F4" s="1066" t="s">
        <v>356</v>
      </c>
      <c r="G4" s="1067"/>
      <c r="H4" s="837">
        <v>2004</v>
      </c>
      <c r="K4" s="10"/>
    </row>
    <row r="5" spans="1:11" ht="12.75" customHeight="1">
      <c r="A5" s="349"/>
      <c r="B5" s="21" t="s">
        <v>179</v>
      </c>
      <c r="C5" s="21"/>
      <c r="D5" s="70"/>
      <c r="E5" s="70"/>
      <c r="F5" s="70"/>
      <c r="G5" s="70"/>
      <c r="H5" s="837">
        <v>2005</v>
      </c>
      <c r="K5" s="10"/>
    </row>
    <row r="6" spans="1:11" ht="12.75" customHeight="1" thickBot="1">
      <c r="A6" s="349"/>
      <c r="B6" s="10"/>
      <c r="C6" s="11" t="s">
        <v>338</v>
      </c>
      <c r="D6" s="10"/>
      <c r="E6" s="9"/>
      <c r="F6" s="57"/>
      <c r="G6" s="58"/>
      <c r="H6" s="837">
        <v>2006</v>
      </c>
      <c r="K6" s="967"/>
    </row>
    <row r="7" spans="1:11" ht="12.75" customHeight="1">
      <c r="A7" s="349"/>
      <c r="B7" s="10"/>
      <c r="C7" s="1068" t="s">
        <v>652</v>
      </c>
      <c r="D7" s="552"/>
      <c r="E7" s="443"/>
      <c r="F7" s="1161"/>
      <c r="G7" s="1021"/>
      <c r="H7" s="837">
        <v>2007</v>
      </c>
      <c r="K7" s="967"/>
    </row>
    <row r="8" spans="1:11" ht="12.75" customHeight="1">
      <c r="A8" s="349"/>
      <c r="B8" s="10"/>
      <c r="C8" s="1068" t="s">
        <v>288</v>
      </c>
      <c r="D8" s="550"/>
      <c r="E8" s="443"/>
      <c r="F8" s="1162"/>
      <c r="G8" s="1021"/>
      <c r="H8" s="837">
        <v>2008</v>
      </c>
      <c r="J8" s="621"/>
      <c r="K8" s="967"/>
    </row>
    <row r="9" spans="1:11" ht="12.75" customHeight="1">
      <c r="A9" s="349"/>
      <c r="B9" s="10"/>
      <c r="C9" s="1068" t="s">
        <v>254</v>
      </c>
      <c r="D9" s="550"/>
      <c r="E9" s="443"/>
      <c r="F9" s="1162"/>
      <c r="G9" s="1021"/>
      <c r="H9" s="837">
        <v>2009</v>
      </c>
      <c r="K9" s="967"/>
    </row>
    <row r="10" spans="1:11" ht="12.75" customHeight="1">
      <c r="A10" s="349"/>
      <c r="B10" s="10"/>
      <c r="C10" s="1068" t="s">
        <v>180</v>
      </c>
      <c r="D10" s="550"/>
      <c r="E10" s="443"/>
      <c r="F10" s="1162"/>
      <c r="G10" s="1021"/>
      <c r="H10" s="837">
        <v>2010</v>
      </c>
      <c r="K10" s="967"/>
    </row>
    <row r="11" spans="1:11" ht="12.75" customHeight="1">
      <c r="A11" s="349"/>
      <c r="B11" s="10"/>
      <c r="C11" s="1068" t="s">
        <v>317</v>
      </c>
      <c r="D11" s="550"/>
      <c r="E11" s="443"/>
      <c r="F11" s="1162"/>
      <c r="G11" s="1021"/>
      <c r="H11" s="837">
        <v>2011</v>
      </c>
      <c r="K11" s="967"/>
    </row>
    <row r="12" spans="1:11" ht="12.75" customHeight="1" thickBot="1">
      <c r="A12" s="349"/>
      <c r="B12" s="10"/>
      <c r="C12" s="1068" t="s">
        <v>330</v>
      </c>
      <c r="D12" s="551"/>
      <c r="E12" s="443"/>
      <c r="F12" s="1163"/>
      <c r="G12" s="1021"/>
      <c r="H12" s="837">
        <v>2012</v>
      </c>
      <c r="K12" s="967"/>
    </row>
    <row r="13" spans="1:11" ht="12.75" customHeight="1">
      <c r="A13" s="349"/>
      <c r="B13" s="10"/>
      <c r="C13" s="236" t="s">
        <v>340</v>
      </c>
      <c r="D13" s="443"/>
      <c r="E13" s="443"/>
      <c r="F13" s="1021"/>
      <c r="G13" s="1021"/>
      <c r="H13" s="837">
        <v>2013</v>
      </c>
      <c r="K13" s="967"/>
    </row>
    <row r="14" spans="1:11" ht="12.75" customHeight="1" thickBot="1">
      <c r="A14" s="349"/>
      <c r="B14" s="10"/>
      <c r="C14" s="1069" t="s">
        <v>579</v>
      </c>
      <c r="D14" s="1070"/>
      <c r="E14" s="1070"/>
      <c r="F14" s="1070"/>
      <c r="G14" s="1070"/>
      <c r="H14" s="837">
        <v>2014</v>
      </c>
      <c r="K14" s="967"/>
    </row>
    <row r="15" spans="1:11" ht="12.75" customHeight="1" thickBot="1">
      <c r="A15" s="349"/>
      <c r="B15" s="10"/>
      <c r="C15" s="1071" t="s">
        <v>548</v>
      </c>
      <c r="D15" s="549"/>
      <c r="E15" s="443"/>
      <c r="F15" s="554"/>
      <c r="G15" s="1021"/>
      <c r="H15" s="837">
        <v>2015</v>
      </c>
      <c r="K15" s="967"/>
    </row>
    <row r="16" spans="1:11" ht="12.75" customHeight="1" thickBot="1">
      <c r="A16" s="349"/>
      <c r="B16" s="10"/>
      <c r="C16" s="1069" t="s">
        <v>580</v>
      </c>
      <c r="D16" s="1070"/>
      <c r="E16" s="1070"/>
      <c r="F16" s="1070"/>
      <c r="G16" s="1070"/>
      <c r="H16" s="837">
        <v>2016</v>
      </c>
      <c r="K16" s="967"/>
    </row>
    <row r="17" spans="1:11" ht="12.75" customHeight="1" thickBot="1">
      <c r="A17" s="349"/>
      <c r="B17" s="10"/>
      <c r="C17" s="1072" t="s">
        <v>549</v>
      </c>
      <c r="D17" s="549"/>
      <c r="E17" s="509"/>
      <c r="F17" s="554"/>
      <c r="G17" s="1073"/>
      <c r="H17" s="837">
        <v>2017</v>
      </c>
      <c r="K17" s="967"/>
    </row>
    <row r="18" spans="1:11" ht="12.75" customHeight="1" thickBot="1">
      <c r="A18" s="349"/>
      <c r="B18" s="10"/>
      <c r="C18" s="236" t="s">
        <v>566</v>
      </c>
      <c r="D18" s="443"/>
      <c r="E18" s="443"/>
      <c r="F18" s="1021"/>
      <c r="G18" s="1021"/>
      <c r="H18" s="837">
        <v>2018</v>
      </c>
      <c r="K18" s="967"/>
    </row>
    <row r="19" spans="1:11" ht="12.75" customHeight="1">
      <c r="A19" s="349"/>
      <c r="B19" s="10"/>
      <c r="C19" s="1068" t="s">
        <v>550</v>
      </c>
      <c r="D19" s="552"/>
      <c r="E19" s="443"/>
      <c r="F19" s="1161"/>
      <c r="G19" s="1021"/>
      <c r="H19" s="837"/>
      <c r="K19" s="967"/>
    </row>
    <row r="20" spans="1:11" ht="12.75" customHeight="1" thickBot="1">
      <c r="A20" s="349"/>
      <c r="B20" s="10"/>
      <c r="C20" s="929" t="s">
        <v>551</v>
      </c>
      <c r="D20" s="551"/>
      <c r="E20" s="1074"/>
      <c r="F20" s="1163"/>
      <c r="G20" s="1075"/>
      <c r="H20" s="837"/>
      <c r="K20" s="967"/>
    </row>
    <row r="21" spans="1:11" ht="12.75" customHeight="1">
      <c r="A21" s="349"/>
      <c r="B21" s="80" t="s">
        <v>339</v>
      </c>
      <c r="C21" s="1068"/>
      <c r="D21" s="443">
        <f>SUM(D7:D12)+D15+D17+SUM(D19:D20)</f>
        <v>0</v>
      </c>
      <c r="E21" s="443"/>
      <c r="F21" s="443">
        <f>SUM(F7:F12)+F15+F17+SUM(F19:F20)</f>
        <v>0</v>
      </c>
      <c r="G21" s="1021"/>
      <c r="H21" s="837"/>
      <c r="K21" s="967"/>
    </row>
    <row r="22" spans="1:11" ht="12.75" customHeight="1" thickBot="1">
      <c r="A22" s="349"/>
      <c r="B22" s="80"/>
      <c r="C22" s="236" t="s">
        <v>557</v>
      </c>
      <c r="D22" s="443"/>
      <c r="E22" s="443"/>
      <c r="F22" s="443"/>
      <c r="G22" s="1021"/>
      <c r="H22" s="837"/>
      <c r="K22" s="967"/>
    </row>
    <row r="23" spans="1:11" ht="12.75" customHeight="1" thickBot="1">
      <c r="A23" s="349"/>
      <c r="B23" s="80"/>
      <c r="C23" s="1076" t="s">
        <v>565</v>
      </c>
      <c r="D23" s="549"/>
      <c r="E23" s="1077"/>
      <c r="F23" s="549"/>
      <c r="G23" s="1078"/>
      <c r="H23" s="837"/>
      <c r="K23" s="967"/>
    </row>
    <row r="24" spans="1:11" ht="12.75" customHeight="1">
      <c r="A24" s="349"/>
      <c r="B24" s="96" t="s">
        <v>547</v>
      </c>
      <c r="C24" s="1068"/>
      <c r="D24" s="443">
        <f>D21+D23</f>
        <v>0</v>
      </c>
      <c r="E24" s="443"/>
      <c r="F24" s="1021">
        <f>F21+F23</f>
        <v>0</v>
      </c>
      <c r="G24" s="1021"/>
      <c r="H24" s="837"/>
      <c r="K24" s="967"/>
    </row>
    <row r="25" spans="1:11" ht="12.75" customHeight="1" thickBot="1">
      <c r="A25" s="349"/>
      <c r="B25" s="1079"/>
      <c r="C25" s="1080"/>
      <c r="D25" s="1081"/>
      <c r="E25" s="1081"/>
      <c r="F25" s="1082"/>
      <c r="G25" s="1082"/>
      <c r="H25" s="837"/>
      <c r="K25" s="967"/>
    </row>
    <row r="26" spans="1:11" ht="12.75" customHeight="1" thickBot="1" thickTop="1">
      <c r="A26" s="349"/>
      <c r="B26" s="202" t="s">
        <v>546</v>
      </c>
      <c r="C26" s="202"/>
      <c r="D26" s="1083"/>
      <c r="E26" s="1083"/>
      <c r="F26" s="444"/>
      <c r="G26" s="443"/>
      <c r="H26" s="1084"/>
      <c r="K26" s="10"/>
    </row>
    <row r="27" spans="1:8" ht="12.75" customHeight="1">
      <c r="A27" s="349"/>
      <c r="B27" s="10"/>
      <c r="C27" s="1068" t="s">
        <v>274</v>
      </c>
      <c r="D27" s="552"/>
      <c r="E27" s="14"/>
      <c r="F27" s="565"/>
      <c r="G27" s="1085"/>
      <c r="H27" s="837"/>
    </row>
    <row r="28" spans="1:8" ht="12.75" customHeight="1">
      <c r="A28" s="349"/>
      <c r="B28" s="10"/>
      <c r="C28" s="1068" t="s">
        <v>341</v>
      </c>
      <c r="D28" s="550"/>
      <c r="E28" s="14"/>
      <c r="F28" s="566"/>
      <c r="G28" s="1085"/>
      <c r="H28" s="837"/>
    </row>
    <row r="29" spans="1:8" ht="12.75" customHeight="1">
      <c r="A29" s="349"/>
      <c r="B29" s="10"/>
      <c r="C29" s="1068" t="s">
        <v>342</v>
      </c>
      <c r="D29" s="550"/>
      <c r="E29" s="14"/>
      <c r="F29" s="566"/>
      <c r="G29" s="1085"/>
      <c r="H29" s="837"/>
    </row>
    <row r="30" spans="1:8" ht="12.75" customHeight="1">
      <c r="A30" s="349"/>
      <c r="B30" s="10"/>
      <c r="C30" s="1068" t="s">
        <v>275</v>
      </c>
      <c r="D30" s="550"/>
      <c r="E30" s="14"/>
      <c r="F30" s="566"/>
      <c r="G30" s="1085"/>
      <c r="H30" s="837"/>
    </row>
    <row r="31" spans="1:8" ht="12.75" customHeight="1">
      <c r="A31" s="349"/>
      <c r="B31" s="10"/>
      <c r="C31" s="1068" t="s">
        <v>660</v>
      </c>
      <c r="D31" s="1164"/>
      <c r="E31" s="14"/>
      <c r="F31" s="567"/>
      <c r="G31" s="1085"/>
      <c r="H31" s="837"/>
    </row>
    <row r="32" spans="1:8" ht="12.75" customHeight="1" thickBot="1">
      <c r="A32" s="349"/>
      <c r="B32" s="10"/>
      <c r="C32" s="929" t="s">
        <v>276</v>
      </c>
      <c r="D32" s="1164"/>
      <c r="E32" s="1086"/>
      <c r="F32" s="567"/>
      <c r="G32" s="1087"/>
      <c r="H32" s="837"/>
    </row>
    <row r="33" spans="1:8" ht="12.75" customHeight="1">
      <c r="A33" s="349"/>
      <c r="B33" s="202" t="s">
        <v>552</v>
      </c>
      <c r="D33" s="1088">
        <f>SUM(D27:D32)</f>
        <v>0</v>
      </c>
      <c r="E33" s="15"/>
      <c r="F33" s="1088">
        <f>SUM(F27:F32)</f>
        <v>0</v>
      </c>
      <c r="G33" s="1021"/>
      <c r="H33" s="837"/>
    </row>
    <row r="34" spans="1:8" ht="12.75" customHeight="1" thickBot="1">
      <c r="A34" s="349"/>
      <c r="B34" s="40"/>
      <c r="C34" s="1089"/>
      <c r="D34" s="1090"/>
      <c r="E34" s="1091"/>
      <c r="F34" s="1092"/>
      <c r="G34" s="1081"/>
      <c r="H34" s="837"/>
    </row>
    <row r="35" spans="1:8" ht="12.75" customHeight="1" thickBot="1" thickTop="1">
      <c r="A35" s="349"/>
      <c r="B35" s="80" t="s">
        <v>560</v>
      </c>
      <c r="C35" s="202"/>
      <c r="D35" s="1083"/>
      <c r="E35" s="1093"/>
      <c r="F35" s="14"/>
      <c r="G35" s="443"/>
      <c r="H35" s="837"/>
    </row>
    <row r="36" spans="1:8" ht="12.75" customHeight="1">
      <c r="A36" s="349"/>
      <c r="B36" s="10"/>
      <c r="C36" s="1068" t="s">
        <v>355</v>
      </c>
      <c r="D36" s="1161"/>
      <c r="E36" s="15"/>
      <c r="F36" s="1161"/>
      <c r="G36" s="1094"/>
      <c r="H36" s="837"/>
    </row>
    <row r="37" spans="1:8" ht="12.75" customHeight="1" thickBot="1">
      <c r="A37" s="349"/>
      <c r="B37" s="10"/>
      <c r="C37" s="1068" t="s">
        <v>571</v>
      </c>
      <c r="D37" s="1163"/>
      <c r="E37" s="15"/>
      <c r="F37" s="1163"/>
      <c r="G37" s="1021"/>
      <c r="H37" s="837"/>
    </row>
    <row r="38" spans="1:8" ht="12.75" customHeight="1" thickBot="1">
      <c r="A38" s="349"/>
      <c r="B38" s="10"/>
      <c r="C38" s="1068" t="s">
        <v>815</v>
      </c>
      <c r="D38" s="1021"/>
      <c r="E38" s="1021"/>
      <c r="F38" s="1021"/>
      <c r="G38" s="1021"/>
      <c r="H38" s="837"/>
    </row>
    <row r="39" spans="1:8" ht="12.75" customHeight="1" thickBot="1">
      <c r="A39" s="349"/>
      <c r="B39" s="10"/>
      <c r="C39" s="1095" t="s">
        <v>558</v>
      </c>
      <c r="D39" s="554"/>
      <c r="E39" s="1096"/>
      <c r="F39" s="549"/>
      <c r="G39" s="1097"/>
      <c r="H39" s="837"/>
    </row>
    <row r="40" spans="1:8" ht="12.75" customHeight="1">
      <c r="A40" s="349"/>
      <c r="B40" s="80" t="s">
        <v>553</v>
      </c>
      <c r="C40" s="1071"/>
      <c r="D40" s="1021">
        <f>D36+D37+D39</f>
        <v>0</v>
      </c>
      <c r="E40" s="1021"/>
      <c r="F40" s="1021">
        <f>F36+F37+F39</f>
        <v>0</v>
      </c>
      <c r="G40" s="443"/>
      <c r="H40" s="837"/>
    </row>
    <row r="41" spans="1:8" ht="12.75" customHeight="1" thickBot="1">
      <c r="A41" s="349"/>
      <c r="B41" s="40"/>
      <c r="C41" s="1098"/>
      <c r="D41" s="1082"/>
      <c r="E41" s="1082"/>
      <c r="F41" s="1081"/>
      <c r="G41" s="1081"/>
      <c r="H41" s="837"/>
    </row>
    <row r="42" spans="1:8" ht="12.75" customHeight="1" thickTop="1">
      <c r="A42" s="349"/>
      <c r="B42" s="80" t="s">
        <v>344</v>
      </c>
      <c r="C42" s="1099"/>
      <c r="D42" s="1100">
        <f>D24-D33-D40</f>
        <v>0</v>
      </c>
      <c r="E42" s="1101"/>
      <c r="F42" s="1100">
        <f>F24-F33-F40</f>
        <v>0</v>
      </c>
      <c r="G42" s="1102"/>
      <c r="H42" s="837"/>
    </row>
    <row r="43" spans="1:8" ht="12.75" customHeight="1" thickBot="1">
      <c r="A43" s="349"/>
      <c r="B43" s="80"/>
      <c r="C43" s="1099"/>
      <c r="D43" s="15"/>
      <c r="E43" s="57"/>
      <c r="F43" s="15"/>
      <c r="G43" s="58"/>
      <c r="H43" s="837"/>
    </row>
    <row r="44" spans="1:8" ht="12.75" customHeight="1" thickBot="1">
      <c r="A44" s="349"/>
      <c r="B44" s="10"/>
      <c r="C44" s="1103" t="s">
        <v>816</v>
      </c>
      <c r="D44" s="554"/>
      <c r="E44" s="1096"/>
      <c r="F44" s="554"/>
      <c r="G44" s="1104"/>
      <c r="H44" s="837"/>
    </row>
    <row r="45" spans="1:8" ht="12.75" customHeight="1">
      <c r="A45" s="349"/>
      <c r="B45" s="80" t="s">
        <v>555</v>
      </c>
      <c r="C45" s="1099"/>
      <c r="D45" s="1105">
        <f>MAX(0,D42+D44)</f>
        <v>0</v>
      </c>
      <c r="E45" s="57"/>
      <c r="F45" s="1105">
        <f>MAX(0,F42+F44)</f>
        <v>0</v>
      </c>
      <c r="G45" s="57"/>
      <c r="H45" s="837"/>
    </row>
    <row r="46" spans="1:8" ht="12.75" customHeight="1" thickBot="1">
      <c r="A46" s="349"/>
      <c r="B46" s="40"/>
      <c r="C46" s="1080"/>
      <c r="D46" s="92"/>
      <c r="E46" s="92"/>
      <c r="F46" s="41"/>
      <c r="G46" s="41"/>
      <c r="H46" s="837"/>
    </row>
    <row r="47" spans="1:8" ht="12.75" customHeight="1" thickBot="1" thickTop="1">
      <c r="A47" s="349"/>
      <c r="B47" s="80" t="s">
        <v>353</v>
      </c>
      <c r="C47" s="1068"/>
      <c r="D47" s="57"/>
      <c r="E47" s="57"/>
      <c r="F47" s="10"/>
      <c r="G47" s="10"/>
      <c r="H47" s="837"/>
    </row>
    <row r="48" spans="1:8" ht="12.75" customHeight="1">
      <c r="A48" s="349"/>
      <c r="B48" s="10"/>
      <c r="C48" s="1068" t="s">
        <v>345</v>
      </c>
      <c r="D48" s="1106">
        <f>IF($D$3&gt;2010,HLOOKUP($D$3,'Estate Tax Sch'!$D$2:$N$23,21),HLOOKUP($D$3,'Estate Tax Sch'!$D$2:$N$21,19))</f>
        <v>0</v>
      </c>
      <c r="E48" s="1107">
        <v>0</v>
      </c>
      <c r="F48" s="1106">
        <f>IF($D$3&gt;2010,HLOOKUP($D$3,'Estate Tax Sch'!$D$2:$N$23,22),HLOOKUP($D$3,'Estate Tax Sch'!$D$2:$N$21,20))</f>
        <v>0</v>
      </c>
      <c r="G48" s="1107">
        <v>0</v>
      </c>
      <c r="H48" s="837"/>
    </row>
    <row r="49" spans="1:8" ht="12.75" customHeight="1">
      <c r="A49" s="349"/>
      <c r="B49" s="10"/>
      <c r="C49" s="1068" t="s">
        <v>346</v>
      </c>
      <c r="D49" s="1108">
        <f>VLOOKUP(E49,'Estate Tax Sch'!$A$49:$C$57,3)</f>
        <v>0</v>
      </c>
      <c r="E49" s="1109">
        <f>$D$3</f>
        <v>2010</v>
      </c>
      <c r="F49" s="1108">
        <f>VLOOKUP(E49,'Estate Tax Sch'!$A$49:$C$57,3)</f>
        <v>0</v>
      </c>
      <c r="G49" s="1110"/>
      <c r="H49" s="837"/>
    </row>
    <row r="50" spans="1:8" ht="12.75" customHeight="1" thickBot="1">
      <c r="A50" s="349"/>
      <c r="B50" s="10"/>
      <c r="C50" s="929" t="s">
        <v>817</v>
      </c>
      <c r="D50" s="1165"/>
      <c r="E50" s="1111"/>
      <c r="F50" s="1165"/>
      <c r="G50" s="1112"/>
      <c r="H50" s="837"/>
    </row>
    <row r="51" spans="1:8" ht="12.75" customHeight="1">
      <c r="A51" s="349"/>
      <c r="B51" s="10"/>
      <c r="C51" s="394" t="s">
        <v>357</v>
      </c>
      <c r="D51" s="15">
        <f>MAX(D48-D49-D50,0)</f>
        <v>0</v>
      </c>
      <c r="E51" s="15"/>
      <c r="F51" s="15">
        <f>MAX(F48-F49-F50,0)</f>
        <v>0</v>
      </c>
      <c r="G51" s="15"/>
      <c r="H51" s="837"/>
    </row>
    <row r="52" spans="1:8" ht="12.75" customHeight="1">
      <c r="A52" s="349"/>
      <c r="B52" s="8"/>
      <c r="C52" s="394"/>
      <c r="D52" s="1448" t="str">
        <f>IF(AND(D48&gt;(D49-1),F48&gt;(F49-1)),"Congratulations, both Unified Transfer Tax Credits are fully used.",IF(AND(D49&gt;D48,F48&gt;(F49-1)),"The Client's Unified Transfer Tax Credit is not being fully used.",IF(AND(F49&gt;F48,D48&gt;(D49-1)),"The Co-client's Unified Transfer Tax Credit is not being fully used.",IF(AND(D48&lt;D49,F48&lt;F49),"Neither Unifed Transfer Tax Credit is being fully used.",""))))</f>
        <v>Congratulations, both Unified Transfer Tax Credits are fully used.</v>
      </c>
      <c r="E52" s="1448"/>
      <c r="F52" s="1448"/>
      <c r="G52" s="15"/>
      <c r="H52" s="837"/>
    </row>
    <row r="53" spans="1:8" ht="12.75" customHeight="1">
      <c r="A53" s="349"/>
      <c r="B53" s="8"/>
      <c r="C53" s="394"/>
      <c r="D53" s="1448"/>
      <c r="E53" s="1448"/>
      <c r="F53" s="1448"/>
      <c r="G53" s="15"/>
      <c r="H53" s="837"/>
    </row>
    <row r="54" spans="1:8" ht="12.75" customHeight="1" thickBot="1">
      <c r="A54" s="349"/>
      <c r="B54" s="8"/>
      <c r="C54" s="394"/>
      <c r="D54" s="1113"/>
      <c r="E54" s="1113"/>
      <c r="F54" s="1113"/>
      <c r="G54" s="15"/>
      <c r="H54" s="837"/>
    </row>
    <row r="55" spans="1:8" ht="7.5" customHeight="1">
      <c r="A55" s="68"/>
      <c r="B55" s="68"/>
      <c r="C55" s="1114"/>
      <c r="D55" s="1115"/>
      <c r="E55" s="1115"/>
      <c r="F55" s="1115"/>
      <c r="G55" s="365"/>
      <c r="H55" s="1116"/>
    </row>
    <row r="56" spans="1:8" ht="7.5" customHeight="1" thickBot="1">
      <c r="A56" s="10"/>
      <c r="B56" s="10"/>
      <c r="C56" s="394"/>
      <c r="D56" s="1113"/>
      <c r="E56" s="1113"/>
      <c r="F56" s="1113"/>
      <c r="G56" s="15"/>
      <c r="H56" s="967"/>
    </row>
    <row r="57" spans="1:8" ht="12.75" customHeight="1" thickBot="1">
      <c r="A57" s="1240" t="s">
        <v>554</v>
      </c>
      <c r="B57" s="1241"/>
      <c r="C57" s="1241"/>
      <c r="D57" s="1241"/>
      <c r="E57" s="1241"/>
      <c r="F57" s="1241"/>
      <c r="G57" s="1241"/>
      <c r="H57" s="1242"/>
    </row>
    <row r="58" spans="1:8" s="914" customFormat="1" ht="13.5" thickBot="1">
      <c r="A58" s="1117"/>
      <c r="B58" s="1118"/>
      <c r="C58" s="1119">
        <f>IF(D58="","Enter year of second death =&gt;","")</f>
      </c>
      <c r="D58" s="1166">
        <v>2010</v>
      </c>
      <c r="E58" s="1120"/>
      <c r="F58" s="1121"/>
      <c r="G58" s="1118"/>
      <c r="H58" s="1122"/>
    </row>
    <row r="59" spans="1:8" s="914" customFormat="1" ht="12.75">
      <c r="A59" s="1123"/>
      <c r="B59" s="1124" t="s">
        <v>569</v>
      </c>
      <c r="C59" s="1069"/>
      <c r="D59" s="1125" t="s">
        <v>356</v>
      </c>
      <c r="E59" s="1004"/>
      <c r="F59" s="1125" t="s">
        <v>343</v>
      </c>
      <c r="G59" s="391"/>
      <c r="H59" s="1126">
        <v>-0.04</v>
      </c>
    </row>
    <row r="60" spans="1:8" s="914" customFormat="1" ht="12.75">
      <c r="A60" s="1123"/>
      <c r="C60" s="1127" t="s">
        <v>568</v>
      </c>
      <c r="D60" s="1105">
        <f>F21-F33-F39</f>
        <v>0</v>
      </c>
      <c r="E60" s="1107"/>
      <c r="F60" s="1105">
        <f>D21-D33-D39</f>
        <v>0</v>
      </c>
      <c r="G60" s="391"/>
      <c r="H60" s="1126">
        <v>-0.03</v>
      </c>
    </row>
    <row r="61" spans="1:8" s="914" customFormat="1" ht="12.75">
      <c r="A61" s="1123"/>
      <c r="B61" s="391"/>
      <c r="C61" s="407" t="s">
        <v>578</v>
      </c>
      <c r="D61" s="1110"/>
      <c r="E61" s="1107"/>
      <c r="F61" s="1128"/>
      <c r="G61" s="391"/>
      <c r="H61" s="1129">
        <v>-0.02</v>
      </c>
    </row>
    <row r="62" spans="1:8" s="914" customFormat="1" ht="12.75">
      <c r="A62" s="1123"/>
      <c r="B62" s="391"/>
      <c r="C62" s="1069" t="s">
        <v>567</v>
      </c>
      <c r="D62" s="1110">
        <f>D36</f>
        <v>0</v>
      </c>
      <c r="E62" s="1107"/>
      <c r="F62" s="1128">
        <f>F36</f>
        <v>0</v>
      </c>
      <c r="G62" s="391"/>
      <c r="H62" s="1129">
        <v>-0.01</v>
      </c>
    </row>
    <row r="63" spans="1:8" s="914" customFormat="1" ht="13.5" thickBot="1">
      <c r="A63" s="1123"/>
      <c r="B63" s="391"/>
      <c r="C63" s="407" t="s">
        <v>611</v>
      </c>
      <c r="D63" s="1130"/>
      <c r="E63" s="1107"/>
      <c r="F63" s="1131"/>
      <c r="G63" s="391"/>
      <c r="H63" s="1129">
        <v>0</v>
      </c>
    </row>
    <row r="64" spans="1:10" s="914" customFormat="1" ht="13.5" thickBot="1">
      <c r="A64" s="1123"/>
      <c r="B64" s="391"/>
      <c r="C64" s="1069" t="s">
        <v>612</v>
      </c>
      <c r="D64" s="1167"/>
      <c r="E64" s="1107"/>
      <c r="F64" s="679"/>
      <c r="G64" s="391"/>
      <c r="H64" s="1129">
        <v>0.01</v>
      </c>
      <c r="J64" s="621"/>
    </row>
    <row r="65" spans="1:8" s="914" customFormat="1" ht="13.5" thickBot="1">
      <c r="A65" s="1123"/>
      <c r="B65" s="391"/>
      <c r="C65" s="407"/>
      <c r="D65" s="1132"/>
      <c r="E65" s="1107"/>
      <c r="F65" s="1133"/>
      <c r="G65" s="391"/>
      <c r="H65" s="1129">
        <v>0.02</v>
      </c>
    </row>
    <row r="66" spans="1:8" s="914" customFormat="1" ht="13.5" thickBot="1">
      <c r="A66" s="1123"/>
      <c r="B66" s="1124" t="s">
        <v>418</v>
      </c>
      <c r="C66" s="1134"/>
      <c r="D66" s="1168"/>
      <c r="E66" s="1135"/>
      <c r="F66" s="1168"/>
      <c r="G66" s="391"/>
      <c r="H66" s="1129">
        <v>0.03</v>
      </c>
    </row>
    <row r="67" spans="1:8" s="914" customFormat="1" ht="12.75">
      <c r="A67" s="1123"/>
      <c r="B67" s="1124" t="s">
        <v>563</v>
      </c>
      <c r="C67" s="391"/>
      <c r="D67" s="1136">
        <f>(D60+D62+D64)*((1+D66)^($D$58-$D$3))</f>
        <v>0</v>
      </c>
      <c r="E67" s="1137"/>
      <c r="F67" s="1136">
        <f>(F60+F62+F64)*((1+F66)^($D$58-$D$3))</f>
        <v>0</v>
      </c>
      <c r="G67" s="391"/>
      <c r="H67" s="1129">
        <v>0.04</v>
      </c>
    </row>
    <row r="68" spans="1:8" s="914" customFormat="1" ht="13.5" thickBot="1">
      <c r="A68" s="1123"/>
      <c r="B68" s="35"/>
      <c r="C68" s="407" t="s">
        <v>557</v>
      </c>
      <c r="D68" s="1110"/>
      <c r="E68" s="1107"/>
      <c r="F68" s="1110"/>
      <c r="G68" s="391"/>
      <c r="H68" s="837"/>
    </row>
    <row r="69" spans="1:8" s="914" customFormat="1" ht="13.5" thickBot="1">
      <c r="A69" s="1123"/>
      <c r="B69" s="35"/>
      <c r="C69" s="1138" t="s">
        <v>564</v>
      </c>
      <c r="D69" s="1167"/>
      <c r="E69" s="1107"/>
      <c r="F69" s="1167"/>
      <c r="G69" s="391"/>
      <c r="H69" s="837"/>
    </row>
    <row r="70" spans="1:8" s="914" customFormat="1" ht="12.75">
      <c r="A70" s="1123"/>
      <c r="B70" s="35" t="s">
        <v>547</v>
      </c>
      <c r="C70" s="1069"/>
      <c r="D70" s="1110">
        <f>D67+(D69-D23)</f>
        <v>0</v>
      </c>
      <c r="E70" s="1107"/>
      <c r="F70" s="1110">
        <f>F67+(F69-F23)</f>
        <v>0</v>
      </c>
      <c r="G70" s="391"/>
      <c r="H70" s="837"/>
    </row>
    <row r="71" spans="1:8" s="914" customFormat="1" ht="13.5" thickBot="1">
      <c r="A71" s="1123"/>
      <c r="B71" s="1139"/>
      <c r="C71" s="1140">
        <f>IF($D$58&lt;$D$3,"Please choose a year that is the same or follows the year chosen for the first death.","")</f>
      </c>
      <c r="D71" s="1141"/>
      <c r="E71" s="1142"/>
      <c r="F71" s="1141"/>
      <c r="G71" s="1143"/>
      <c r="H71" s="837"/>
    </row>
    <row r="72" spans="1:8" s="914" customFormat="1" ht="14.25" thickBot="1" thickTop="1">
      <c r="A72" s="1123"/>
      <c r="B72" s="1124" t="s">
        <v>559</v>
      </c>
      <c r="D72" s="1110"/>
      <c r="E72" s="1107"/>
      <c r="F72" s="1128"/>
      <c r="G72" s="391"/>
      <c r="H72" s="1123"/>
    </row>
    <row r="73" spans="1:8" s="914" customFormat="1" ht="13.5" thickBot="1">
      <c r="A73" s="1123"/>
      <c r="B73" s="391"/>
      <c r="C73" s="1069" t="s">
        <v>571</v>
      </c>
      <c r="D73" s="1167"/>
      <c r="E73" s="1107"/>
      <c r="F73" s="679"/>
      <c r="G73" s="391"/>
      <c r="H73" s="1123"/>
    </row>
    <row r="74" spans="1:8" s="914" customFormat="1" ht="13.5" thickBot="1">
      <c r="A74" s="1123"/>
      <c r="B74" s="391"/>
      <c r="C74" s="1068" t="s">
        <v>570</v>
      </c>
      <c r="D74" s="1136"/>
      <c r="E74" s="1137"/>
      <c r="F74" s="1144"/>
      <c r="G74" s="391"/>
      <c r="H74" s="1123"/>
    </row>
    <row r="75" spans="1:8" s="914" customFormat="1" ht="13.5" thickBot="1">
      <c r="A75" s="1123"/>
      <c r="B75" s="391"/>
      <c r="C75" s="1145" t="s">
        <v>556</v>
      </c>
      <c r="D75" s="1167"/>
      <c r="E75" s="1146"/>
      <c r="F75" s="679"/>
      <c r="G75" s="391"/>
      <c r="H75" s="1123"/>
    </row>
    <row r="76" spans="1:8" s="914" customFormat="1" ht="12.75">
      <c r="A76" s="1123"/>
      <c r="B76" s="80" t="s">
        <v>561</v>
      </c>
      <c r="D76" s="1147">
        <f>SUM(D73:D75)</f>
        <v>0</v>
      </c>
      <c r="E76" s="637"/>
      <c r="F76" s="1147">
        <f>SUM(F73:F75)</f>
        <v>0</v>
      </c>
      <c r="G76" s="391"/>
      <c r="H76" s="1123"/>
    </row>
    <row r="77" spans="1:8" s="914" customFormat="1" ht="13.5" thickBot="1">
      <c r="A77" s="1123"/>
      <c r="B77" s="1143"/>
      <c r="C77" s="1143"/>
      <c r="D77" s="1143"/>
      <c r="E77" s="1148"/>
      <c r="F77" s="1143"/>
      <c r="G77" s="1143"/>
      <c r="H77" s="1123"/>
    </row>
    <row r="78" spans="1:8" s="914" customFormat="1" ht="13.5" thickTop="1">
      <c r="A78" s="1123"/>
      <c r="B78" s="80" t="s">
        <v>344</v>
      </c>
      <c r="C78" s="1099"/>
      <c r="D78" s="1147">
        <f>D70-D76</f>
        <v>0</v>
      </c>
      <c r="E78" s="637"/>
      <c r="F78" s="1147">
        <f>F70-F76</f>
        <v>0</v>
      </c>
      <c r="H78" s="1149"/>
    </row>
    <row r="79" spans="1:8" s="914" customFormat="1" ht="13.5" thickBot="1">
      <c r="A79" s="1123"/>
      <c r="B79" s="80"/>
      <c r="C79" s="1099"/>
      <c r="E79" s="637"/>
      <c r="H79" s="1149"/>
    </row>
    <row r="80" spans="1:8" s="914" customFormat="1" ht="13.5" thickBot="1">
      <c r="A80" s="1123"/>
      <c r="B80" s="10"/>
      <c r="C80" s="1103" t="s">
        <v>816</v>
      </c>
      <c r="D80" s="679"/>
      <c r="E80" s="1150"/>
      <c r="F80" s="679"/>
      <c r="H80" s="1149"/>
    </row>
    <row r="81" spans="1:8" s="914" customFormat="1" ht="12.75">
      <c r="A81" s="1123"/>
      <c r="B81" s="80" t="s">
        <v>555</v>
      </c>
      <c r="C81" s="1069"/>
      <c r="D81" s="1110">
        <f>D78+D80</f>
        <v>0</v>
      </c>
      <c r="E81" s="1107"/>
      <c r="F81" s="1110">
        <f>F78+F80</f>
        <v>0</v>
      </c>
      <c r="G81" s="391"/>
      <c r="H81" s="1149"/>
    </row>
    <row r="82" spans="1:8" s="914" customFormat="1" ht="13.5" thickBot="1">
      <c r="A82" s="1123"/>
      <c r="B82" s="1151"/>
      <c r="C82" s="1152"/>
      <c r="D82" s="1153"/>
      <c r="E82" s="1154"/>
      <c r="F82" s="1153"/>
      <c r="G82" s="1143"/>
      <c r="H82" s="1149"/>
    </row>
    <row r="83" spans="1:8" s="914" customFormat="1" ht="14.25" thickBot="1" thickTop="1">
      <c r="A83" s="1123"/>
      <c r="B83" s="80" t="s">
        <v>562</v>
      </c>
      <c r="C83" s="1069"/>
      <c r="D83" s="1110"/>
      <c r="E83" s="1107"/>
      <c r="F83" s="1128"/>
      <c r="G83" s="391"/>
      <c r="H83" s="1155"/>
    </row>
    <row r="84" spans="1:8" s="914" customFormat="1" ht="12.75">
      <c r="A84" s="1123"/>
      <c r="B84" s="35"/>
      <c r="C84" s="1069" t="s">
        <v>345</v>
      </c>
      <c r="D84" s="1106">
        <f>IF($D$58&gt;2010,HLOOKUP($D$58,'Estate Tax Sch'!D25:N46,21),HLOOKUP($D$58,'Estate Tax Sch'!D25:N44,19))</f>
        <v>0</v>
      </c>
      <c r="E84" s="1107">
        <v>0</v>
      </c>
      <c r="F84" s="1106">
        <f>IF($D$58&gt;2010,HLOOKUP($D$58,'Estate Tax Sch'!D25:N46,22),HLOOKUP($D$58,'Estate Tax Sch'!$D$25:$N$44,20))</f>
        <v>0</v>
      </c>
      <c r="G84" s="391"/>
      <c r="H84" s="1156"/>
    </row>
    <row r="85" spans="1:8" s="914" customFormat="1" ht="12.75">
      <c r="A85" s="1123"/>
      <c r="B85" s="35"/>
      <c r="C85" s="1069" t="s">
        <v>346</v>
      </c>
      <c r="D85" s="1108">
        <f>VLOOKUP(E85,'Estate Tax Sch'!$A$49:$C$57,3)</f>
        <v>0</v>
      </c>
      <c r="E85" s="1109">
        <f>$D$58</f>
        <v>2010</v>
      </c>
      <c r="F85" s="1108">
        <f>VLOOKUP(E85,'Estate Tax Sch'!$A$49:$C$57,3)</f>
        <v>0</v>
      </c>
      <c r="G85" s="391"/>
      <c r="H85" s="1156"/>
    </row>
    <row r="86" spans="1:8" s="914" customFormat="1" ht="12.75">
      <c r="A86" s="1123"/>
      <c r="B86" s="35"/>
      <c r="C86" s="1138" t="s">
        <v>817</v>
      </c>
      <c r="D86" s="1169"/>
      <c r="E86" s="1111"/>
      <c r="F86" s="1169"/>
      <c r="G86" s="391"/>
      <c r="H86" s="1156"/>
    </row>
    <row r="87" spans="1:8" ht="13.5" thickBot="1">
      <c r="A87" s="349"/>
      <c r="B87" s="10"/>
      <c r="C87" s="394" t="s">
        <v>358</v>
      </c>
      <c r="D87" s="1157">
        <f>MAX(D84-D85-D86,0)</f>
        <v>0</v>
      </c>
      <c r="E87" s="1107"/>
      <c r="F87" s="1157">
        <f>MAX(F84-F85-F86,0)</f>
        <v>0</v>
      </c>
      <c r="G87" s="10"/>
      <c r="H87" s="1158"/>
    </row>
    <row r="88" spans="1:8" ht="13.5" thickBot="1">
      <c r="A88" s="349"/>
      <c r="B88" s="40"/>
      <c r="C88" s="41"/>
      <c r="D88" s="90"/>
      <c r="E88" s="1154"/>
      <c r="F88" s="90"/>
      <c r="G88" s="41"/>
      <c r="H88" s="1158"/>
    </row>
    <row r="89" spans="1:8" ht="14.25" thickBot="1" thickTop="1">
      <c r="A89" s="349"/>
      <c r="B89" s="80" t="s">
        <v>354</v>
      </c>
      <c r="C89" s="394"/>
      <c r="D89" s="10"/>
      <c r="E89" s="1107"/>
      <c r="F89" s="10"/>
      <c r="G89" s="10"/>
      <c r="H89" s="1158"/>
    </row>
    <row r="90" spans="1:8" ht="13.5" thickBot="1">
      <c r="A90" s="349"/>
      <c r="B90" s="10"/>
      <c r="C90" s="394" t="s">
        <v>573</v>
      </c>
      <c r="D90" s="1331">
        <f>IF(D58&lt;D3,"Error",D51+D87)</f>
        <v>0</v>
      </c>
      <c r="E90" s="1445"/>
      <c r="F90" s="1332"/>
      <c r="G90" s="10"/>
      <c r="H90" s="1158"/>
    </row>
    <row r="91" spans="1:8" ht="13.5" thickBot="1">
      <c r="A91" s="349"/>
      <c r="B91" s="10"/>
      <c r="C91" s="753" t="s">
        <v>572</v>
      </c>
      <c r="D91" s="1331">
        <f>IF(D58&lt;D3,"Error",F51+F87)</f>
        <v>0</v>
      </c>
      <c r="E91" s="1445"/>
      <c r="F91" s="1332"/>
      <c r="G91" s="10"/>
      <c r="H91" s="837"/>
    </row>
    <row r="92" spans="1:8" ht="12.75" customHeight="1" thickBot="1">
      <c r="A92" s="246"/>
      <c r="B92" s="31"/>
      <c r="C92" s="31"/>
      <c r="D92" s="31"/>
      <c r="E92" s="31"/>
      <c r="F92" s="31"/>
      <c r="G92" s="31"/>
      <c r="H92" s="1159"/>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sheetData>
  <sheetProtection/>
  <mergeCells count="7">
    <mergeCell ref="D90:F90"/>
    <mergeCell ref="D91:F91"/>
    <mergeCell ref="A57:H57"/>
    <mergeCell ref="A1:H1"/>
    <mergeCell ref="B4:C4"/>
    <mergeCell ref="D52:F53"/>
    <mergeCell ref="A2:H2"/>
  </mergeCells>
  <conditionalFormatting sqref="F87:F88 D90:D91 D51:D56 F58 F51:F56 D87:D88">
    <cfRule type="cellIs" priority="1" dxfId="2" operator="greaterThan" stopIfTrue="1">
      <formula>$E$48</formula>
    </cfRule>
    <cfRule type="cellIs" priority="2" dxfId="1" operator="equal" stopIfTrue="1">
      <formula>$E$48</formula>
    </cfRule>
    <cfRule type="cellIs" priority="3" dxfId="0" operator="lessThan" stopIfTrue="1">
      <formula>$E$48</formula>
    </cfRule>
  </conditionalFormatting>
  <dataValidations count="3">
    <dataValidation type="list" allowBlank="1" showInputMessage="1" showErrorMessage="1" sqref="F66 D66">
      <formula1>$H$58:$H$67</formula1>
    </dataValidation>
    <dataValidation type="list" allowBlank="1" showInputMessage="1" showErrorMessage="1" sqref="D58">
      <formula1>$H$7:$H$18</formula1>
    </dataValidation>
    <dataValidation type="list" allowBlank="1" showInputMessage="1" showErrorMessage="1" sqref="D3">
      <formula1>$H$7:$H$18</formula1>
    </dataValidation>
  </dataValidations>
  <printOptions horizontalCentered="1"/>
  <pageMargins left="0.75" right="0.75" top="0.75" bottom="0.75" header="0.5" footer="0.5"/>
  <pageSetup horizontalDpi="300" verticalDpi="300" orientation="portrait" r:id="rId3"/>
  <headerFooter alignWithMargins="0">
    <oddFooter>&amp;LEstate Tax Estimator&amp;R&amp;P</oddFooter>
  </headerFooter>
  <ignoredErrors>
    <ignoredError sqref="F87 D51:D52 F51 D87" evalError="1"/>
  </ignoredErrors>
  <legacyDrawing r:id="rId2"/>
</worksheet>
</file>

<file path=xl/worksheets/sheet16.xml><?xml version="1.0" encoding="utf-8"?>
<worksheet xmlns="http://schemas.openxmlformats.org/spreadsheetml/2006/main" xmlns:r="http://schemas.openxmlformats.org/officeDocument/2006/relationships">
  <sheetPr codeName="Sheet14">
    <tabColor indexed="22"/>
  </sheetPr>
  <dimension ref="A1:O66"/>
  <sheetViews>
    <sheetView zoomScalePageLayoutView="0" workbookViewId="0" topLeftCell="A1">
      <selection activeCell="A1" sqref="A1:A2"/>
    </sheetView>
  </sheetViews>
  <sheetFormatPr defaultColWidth="9.140625" defaultRowHeight="12.75"/>
  <cols>
    <col min="1" max="3" width="11.7109375" style="176" customWidth="1"/>
    <col min="4" max="15" width="12.7109375" style="176" customWidth="1"/>
    <col min="16" max="18" width="11.7109375" style="0" customWidth="1"/>
  </cols>
  <sheetData>
    <row r="1" spans="1:15" ht="12.75" customHeight="1">
      <c r="A1" s="1454" t="s">
        <v>347</v>
      </c>
      <c r="B1" s="1456" t="s">
        <v>348</v>
      </c>
      <c r="C1" s="1449" t="s">
        <v>151</v>
      </c>
      <c r="D1" s="1451" t="s">
        <v>595</v>
      </c>
      <c r="E1" s="1452"/>
      <c r="F1" s="1452"/>
      <c r="G1" s="1452"/>
      <c r="H1" s="1452"/>
      <c r="I1" s="1452"/>
      <c r="J1" s="1453"/>
      <c r="K1" s="1454" t="s">
        <v>347</v>
      </c>
      <c r="L1" s="1456" t="s">
        <v>348</v>
      </c>
      <c r="M1" s="1458" t="s">
        <v>151</v>
      </c>
      <c r="N1" s="485"/>
      <c r="O1" s="474"/>
    </row>
    <row r="2" spans="1:15" ht="25.5" customHeight="1" thickBot="1">
      <c r="A2" s="1455"/>
      <c r="B2" s="1457"/>
      <c r="C2" s="1450"/>
      <c r="D2" s="321">
        <v>2004</v>
      </c>
      <c r="E2" s="320">
        <v>2005</v>
      </c>
      <c r="F2" s="320">
        <v>2006</v>
      </c>
      <c r="G2" s="320">
        <v>2007</v>
      </c>
      <c r="H2" s="320">
        <v>2008</v>
      </c>
      <c r="I2" s="320">
        <v>2009</v>
      </c>
      <c r="J2" s="320">
        <v>2010</v>
      </c>
      <c r="K2" s="1455"/>
      <c r="L2" s="1457"/>
      <c r="M2" s="1459"/>
      <c r="N2" s="379">
        <f>IF('Estate Tax Estimator'!D3&lt;2011,2011,'Estate Tax Estimator'!D3)</f>
        <v>2011</v>
      </c>
      <c r="O2" s="480">
        <f>IF('Estate Tax Estimator'!D58&lt;2012,2012,'Estate Tax Estimator'!D58)</f>
        <v>2012</v>
      </c>
    </row>
    <row r="3" spans="1:15" ht="12.75">
      <c r="A3" s="324">
        <v>0</v>
      </c>
      <c r="B3" s="325">
        <v>10000</v>
      </c>
      <c r="C3" s="326">
        <v>0</v>
      </c>
      <c r="D3" s="322">
        <v>0.18</v>
      </c>
      <c r="E3" s="318">
        <v>0.18</v>
      </c>
      <c r="F3" s="318">
        <v>0.18</v>
      </c>
      <c r="G3" s="318">
        <v>0.18</v>
      </c>
      <c r="H3" s="318">
        <v>0.18</v>
      </c>
      <c r="I3" s="367">
        <v>0.18</v>
      </c>
      <c r="J3" s="367">
        <v>0</v>
      </c>
      <c r="K3" s="324">
        <v>0</v>
      </c>
      <c r="L3" s="325">
        <v>10000</v>
      </c>
      <c r="M3" s="326">
        <v>0</v>
      </c>
      <c r="N3" s="486">
        <v>0.18</v>
      </c>
      <c r="O3" s="481"/>
    </row>
    <row r="4" spans="1:15" ht="12.75">
      <c r="A4" s="327">
        <v>10000</v>
      </c>
      <c r="B4" s="317">
        <v>20000</v>
      </c>
      <c r="C4" s="328">
        <v>1800</v>
      </c>
      <c r="D4" s="323">
        <v>0.2</v>
      </c>
      <c r="E4" s="319">
        <v>0.2</v>
      </c>
      <c r="F4" s="319">
        <v>0.2</v>
      </c>
      <c r="G4" s="319">
        <v>0.2</v>
      </c>
      <c r="H4" s="319">
        <v>0.2</v>
      </c>
      <c r="I4" s="368">
        <v>0.2</v>
      </c>
      <c r="J4" s="368">
        <v>0</v>
      </c>
      <c r="K4" s="327">
        <v>10000</v>
      </c>
      <c r="L4" s="317">
        <v>20000</v>
      </c>
      <c r="M4" s="328">
        <v>1800</v>
      </c>
      <c r="N4" s="487">
        <v>0.2</v>
      </c>
      <c r="O4" s="482"/>
    </row>
    <row r="5" spans="1:15" ht="12.75">
      <c r="A5" s="327">
        <v>20000</v>
      </c>
      <c r="B5" s="317">
        <v>40000</v>
      </c>
      <c r="C5" s="328">
        <v>3800</v>
      </c>
      <c r="D5" s="323">
        <v>0.22</v>
      </c>
      <c r="E5" s="319">
        <v>0.22</v>
      </c>
      <c r="F5" s="319">
        <v>0.22</v>
      </c>
      <c r="G5" s="319">
        <v>0.22</v>
      </c>
      <c r="H5" s="319">
        <v>0.22</v>
      </c>
      <c r="I5" s="368">
        <v>0.22</v>
      </c>
      <c r="J5" s="368">
        <v>0</v>
      </c>
      <c r="K5" s="327">
        <v>20000</v>
      </c>
      <c r="L5" s="317">
        <v>40000</v>
      </c>
      <c r="M5" s="328">
        <v>3800</v>
      </c>
      <c r="N5" s="487">
        <v>0.22</v>
      </c>
      <c r="O5" s="482"/>
    </row>
    <row r="6" spans="1:15" ht="12.75">
      <c r="A6" s="327">
        <v>40000</v>
      </c>
      <c r="B6" s="317">
        <v>60000</v>
      </c>
      <c r="C6" s="328">
        <v>8200</v>
      </c>
      <c r="D6" s="323">
        <v>0.24</v>
      </c>
      <c r="E6" s="319">
        <v>0.24</v>
      </c>
      <c r="F6" s="319">
        <v>0.24</v>
      </c>
      <c r="G6" s="319">
        <v>0.24</v>
      </c>
      <c r="H6" s="319">
        <v>0.24</v>
      </c>
      <c r="I6" s="368">
        <v>0.24</v>
      </c>
      <c r="J6" s="368">
        <v>0</v>
      </c>
      <c r="K6" s="327">
        <v>40000</v>
      </c>
      <c r="L6" s="317">
        <v>60000</v>
      </c>
      <c r="M6" s="328">
        <v>8200</v>
      </c>
      <c r="N6" s="487">
        <v>0.24</v>
      </c>
      <c r="O6" s="482"/>
    </row>
    <row r="7" spans="1:15" ht="12.75">
      <c r="A7" s="327">
        <v>60000</v>
      </c>
      <c r="B7" s="317">
        <v>80000</v>
      </c>
      <c r="C7" s="328">
        <v>13000</v>
      </c>
      <c r="D7" s="323">
        <v>0.26</v>
      </c>
      <c r="E7" s="319">
        <v>0.26</v>
      </c>
      <c r="F7" s="319">
        <v>0.26</v>
      </c>
      <c r="G7" s="319">
        <v>0.26</v>
      </c>
      <c r="H7" s="319">
        <v>0.26</v>
      </c>
      <c r="I7" s="368">
        <v>0.26</v>
      </c>
      <c r="J7" s="368">
        <v>0</v>
      </c>
      <c r="K7" s="327">
        <v>60000</v>
      </c>
      <c r="L7" s="317">
        <v>80000</v>
      </c>
      <c r="M7" s="328">
        <v>13000</v>
      </c>
      <c r="N7" s="487">
        <v>0.26</v>
      </c>
      <c r="O7" s="482"/>
    </row>
    <row r="8" spans="1:15" ht="12.75">
      <c r="A8" s="327">
        <v>80000</v>
      </c>
      <c r="B8" s="317">
        <v>100000</v>
      </c>
      <c r="C8" s="328">
        <v>18200</v>
      </c>
      <c r="D8" s="323">
        <v>0.28</v>
      </c>
      <c r="E8" s="319">
        <v>0.28</v>
      </c>
      <c r="F8" s="319">
        <v>0.28</v>
      </c>
      <c r="G8" s="319">
        <v>0.28</v>
      </c>
      <c r="H8" s="319">
        <v>0.28</v>
      </c>
      <c r="I8" s="368">
        <v>0.28</v>
      </c>
      <c r="J8" s="368">
        <v>0</v>
      </c>
      <c r="K8" s="327">
        <v>80000</v>
      </c>
      <c r="L8" s="317">
        <v>100000</v>
      </c>
      <c r="M8" s="328">
        <v>18200</v>
      </c>
      <c r="N8" s="487">
        <v>0.28</v>
      </c>
      <c r="O8" s="482"/>
    </row>
    <row r="9" spans="1:15" ht="12.75">
      <c r="A9" s="327">
        <v>100000</v>
      </c>
      <c r="B9" s="317">
        <v>150000</v>
      </c>
      <c r="C9" s="328">
        <v>23800</v>
      </c>
      <c r="D9" s="323">
        <v>0.3</v>
      </c>
      <c r="E9" s="319">
        <v>0.3</v>
      </c>
      <c r="F9" s="319">
        <v>0.3</v>
      </c>
      <c r="G9" s="319">
        <v>0.3</v>
      </c>
      <c r="H9" s="319">
        <v>0.3</v>
      </c>
      <c r="I9" s="368">
        <v>0.3</v>
      </c>
      <c r="J9" s="368">
        <v>0</v>
      </c>
      <c r="K9" s="327">
        <v>100000</v>
      </c>
      <c r="L9" s="317">
        <v>150000</v>
      </c>
      <c r="M9" s="328">
        <v>23800</v>
      </c>
      <c r="N9" s="487">
        <v>0.3</v>
      </c>
      <c r="O9" s="482"/>
    </row>
    <row r="10" spans="1:15" ht="12.75">
      <c r="A10" s="327">
        <v>150000</v>
      </c>
      <c r="B10" s="317">
        <v>250000</v>
      </c>
      <c r="C10" s="328">
        <v>38800</v>
      </c>
      <c r="D10" s="323">
        <v>0.32</v>
      </c>
      <c r="E10" s="319">
        <v>0.32</v>
      </c>
      <c r="F10" s="319">
        <v>0.32</v>
      </c>
      <c r="G10" s="319">
        <v>0.32</v>
      </c>
      <c r="H10" s="319">
        <v>0.32</v>
      </c>
      <c r="I10" s="368">
        <v>0.32</v>
      </c>
      <c r="J10" s="368">
        <v>0</v>
      </c>
      <c r="K10" s="327">
        <v>150000</v>
      </c>
      <c r="L10" s="317">
        <v>250000</v>
      </c>
      <c r="M10" s="328">
        <v>38800</v>
      </c>
      <c r="N10" s="487">
        <v>0.32</v>
      </c>
      <c r="O10" s="482"/>
    </row>
    <row r="11" spans="1:15" ht="12.75">
      <c r="A11" s="327">
        <v>250000</v>
      </c>
      <c r="B11" s="317">
        <v>500000</v>
      </c>
      <c r="C11" s="328">
        <v>70800</v>
      </c>
      <c r="D11" s="323">
        <v>0.34</v>
      </c>
      <c r="E11" s="319">
        <v>0.34</v>
      </c>
      <c r="F11" s="319">
        <v>0.34</v>
      </c>
      <c r="G11" s="319">
        <v>0.34</v>
      </c>
      <c r="H11" s="319">
        <v>0.34</v>
      </c>
      <c r="I11" s="368">
        <v>0.34</v>
      </c>
      <c r="J11" s="368">
        <v>0</v>
      </c>
      <c r="K11" s="327">
        <v>250000</v>
      </c>
      <c r="L11" s="317">
        <v>500000</v>
      </c>
      <c r="M11" s="328">
        <v>70800</v>
      </c>
      <c r="N11" s="487">
        <v>0.34</v>
      </c>
      <c r="O11" s="482"/>
    </row>
    <row r="12" spans="1:15" ht="12.75">
      <c r="A12" s="327">
        <v>500000</v>
      </c>
      <c r="B12" s="317">
        <v>750000</v>
      </c>
      <c r="C12" s="328">
        <v>155800</v>
      </c>
      <c r="D12" s="323">
        <v>0.37</v>
      </c>
      <c r="E12" s="319">
        <v>0.37</v>
      </c>
      <c r="F12" s="319">
        <v>0.37</v>
      </c>
      <c r="G12" s="319">
        <v>0.37</v>
      </c>
      <c r="H12" s="319">
        <v>0.37</v>
      </c>
      <c r="I12" s="368">
        <v>0.37</v>
      </c>
      <c r="J12" s="368">
        <v>0</v>
      </c>
      <c r="K12" s="327">
        <v>500000</v>
      </c>
      <c r="L12" s="317">
        <v>750000</v>
      </c>
      <c r="M12" s="328">
        <v>155800</v>
      </c>
      <c r="N12" s="487">
        <v>0.37</v>
      </c>
      <c r="O12" s="482"/>
    </row>
    <row r="13" spans="1:15" ht="12.75">
      <c r="A13" s="327">
        <v>750000</v>
      </c>
      <c r="B13" s="317">
        <v>1000000</v>
      </c>
      <c r="C13" s="328">
        <v>248300</v>
      </c>
      <c r="D13" s="323">
        <v>0.39</v>
      </c>
      <c r="E13" s="319">
        <v>0.39</v>
      </c>
      <c r="F13" s="319">
        <v>0.39</v>
      </c>
      <c r="G13" s="319">
        <v>0.39</v>
      </c>
      <c r="H13" s="319">
        <v>0.39</v>
      </c>
      <c r="I13" s="368">
        <v>0.39</v>
      </c>
      <c r="J13" s="368">
        <v>0</v>
      </c>
      <c r="K13" s="327">
        <v>750000</v>
      </c>
      <c r="L13" s="317">
        <v>1000000</v>
      </c>
      <c r="M13" s="328">
        <v>248300</v>
      </c>
      <c r="N13" s="487">
        <v>0.39</v>
      </c>
      <c r="O13" s="483">
        <v>0</v>
      </c>
    </row>
    <row r="14" spans="1:15" ht="12.75">
      <c r="A14" s="327">
        <v>1000000</v>
      </c>
      <c r="B14" s="317">
        <v>1250000</v>
      </c>
      <c r="C14" s="328">
        <v>345800</v>
      </c>
      <c r="D14" s="323">
        <v>0.41</v>
      </c>
      <c r="E14" s="319">
        <v>0.41</v>
      </c>
      <c r="F14" s="319">
        <v>0.41</v>
      </c>
      <c r="G14" s="319">
        <v>0.41</v>
      </c>
      <c r="H14" s="319">
        <v>0.41</v>
      </c>
      <c r="I14" s="368">
        <v>0.41</v>
      </c>
      <c r="J14" s="368">
        <v>0</v>
      </c>
      <c r="K14" s="327">
        <v>1000000</v>
      </c>
      <c r="L14" s="317">
        <v>1250000</v>
      </c>
      <c r="M14" s="372">
        <v>345800</v>
      </c>
      <c r="N14" s="487">
        <v>0.41</v>
      </c>
      <c r="O14" s="482">
        <v>0.41</v>
      </c>
    </row>
    <row r="15" spans="1:15" ht="12.75">
      <c r="A15" s="327">
        <v>1250000</v>
      </c>
      <c r="B15" s="317">
        <v>1500000</v>
      </c>
      <c r="C15" s="328">
        <v>448300</v>
      </c>
      <c r="D15" s="323">
        <v>0.43</v>
      </c>
      <c r="E15" s="319">
        <v>0.43</v>
      </c>
      <c r="F15" s="319">
        <v>0.43</v>
      </c>
      <c r="G15" s="319">
        <v>0.43</v>
      </c>
      <c r="H15" s="319">
        <v>0.43</v>
      </c>
      <c r="I15" s="368">
        <v>0.43</v>
      </c>
      <c r="J15" s="368">
        <v>0</v>
      </c>
      <c r="K15" s="327">
        <v>1250000</v>
      </c>
      <c r="L15" s="317">
        <v>1500000</v>
      </c>
      <c r="M15" s="372">
        <v>448300</v>
      </c>
      <c r="N15" s="487">
        <v>0.43</v>
      </c>
      <c r="O15" s="482">
        <v>0.43</v>
      </c>
    </row>
    <row r="16" spans="1:15" ht="12.75">
      <c r="A16" s="327">
        <v>1500000</v>
      </c>
      <c r="B16" s="317">
        <v>2000000</v>
      </c>
      <c r="C16" s="328">
        <v>555800</v>
      </c>
      <c r="D16" s="323">
        <v>0.45</v>
      </c>
      <c r="E16" s="319">
        <v>0.45</v>
      </c>
      <c r="F16" s="319">
        <v>0.45</v>
      </c>
      <c r="G16" s="319">
        <v>0.45</v>
      </c>
      <c r="H16" s="319">
        <v>0.45</v>
      </c>
      <c r="I16" s="368">
        <v>0.45</v>
      </c>
      <c r="J16" s="368">
        <v>0</v>
      </c>
      <c r="K16" s="327">
        <v>1500000</v>
      </c>
      <c r="L16" s="317">
        <v>2000000</v>
      </c>
      <c r="M16" s="372">
        <v>555800</v>
      </c>
      <c r="N16" s="487">
        <v>0.45</v>
      </c>
      <c r="O16" s="482">
        <v>0.45</v>
      </c>
    </row>
    <row r="17" spans="1:15" ht="12.75">
      <c r="A17" s="327">
        <v>2000000</v>
      </c>
      <c r="B17" s="317"/>
      <c r="C17" s="328">
        <v>780800</v>
      </c>
      <c r="D17" s="323">
        <v>0.48</v>
      </c>
      <c r="E17" s="319">
        <v>0.47</v>
      </c>
      <c r="F17" s="319">
        <v>0.46</v>
      </c>
      <c r="G17" s="319">
        <v>0.45</v>
      </c>
      <c r="H17" s="319">
        <v>0.45</v>
      </c>
      <c r="I17" s="368">
        <v>0.45</v>
      </c>
      <c r="J17" s="368">
        <v>0</v>
      </c>
      <c r="K17" s="327">
        <v>2000000</v>
      </c>
      <c r="L17" s="317">
        <v>2500000</v>
      </c>
      <c r="M17" s="372">
        <v>780800</v>
      </c>
      <c r="N17" s="487">
        <v>0.49</v>
      </c>
      <c r="O17" s="482">
        <v>0.49</v>
      </c>
    </row>
    <row r="18" spans="1:15" ht="12.75">
      <c r="A18" s="329"/>
      <c r="B18" s="330"/>
      <c r="C18" s="434"/>
      <c r="D18" s="335">
        <v>0.48</v>
      </c>
      <c r="E18" s="336">
        <v>0.47</v>
      </c>
      <c r="F18" s="336">
        <v>0.46</v>
      </c>
      <c r="G18" s="336">
        <v>0.45</v>
      </c>
      <c r="H18" s="336">
        <v>0.45</v>
      </c>
      <c r="I18" s="369">
        <v>0.45</v>
      </c>
      <c r="J18" s="369">
        <v>0</v>
      </c>
      <c r="K18" s="329">
        <v>2500000</v>
      </c>
      <c r="L18" s="330">
        <v>3000000</v>
      </c>
      <c r="M18" s="373">
        <v>1025800</v>
      </c>
      <c r="N18" s="488">
        <v>0.53</v>
      </c>
      <c r="O18" s="483">
        <v>0.53</v>
      </c>
    </row>
    <row r="19" spans="1:15" ht="13.5" thickBot="1">
      <c r="A19" s="332"/>
      <c r="B19" s="333"/>
      <c r="C19" s="334"/>
      <c r="D19" s="339"/>
      <c r="E19" s="340"/>
      <c r="F19" s="340"/>
      <c r="G19" s="340"/>
      <c r="H19" s="340"/>
      <c r="I19" s="370">
        <v>0.45</v>
      </c>
      <c r="J19" s="370">
        <v>0</v>
      </c>
      <c r="K19" s="332">
        <v>3000000</v>
      </c>
      <c r="L19" s="499">
        <v>10000000</v>
      </c>
      <c r="M19" s="334">
        <v>1290800</v>
      </c>
      <c r="N19" s="489">
        <v>0.55</v>
      </c>
      <c r="O19" s="484">
        <v>0.55</v>
      </c>
    </row>
    <row r="20" spans="1:15" ht="13.5" thickBot="1">
      <c r="A20" s="1463" t="s">
        <v>349</v>
      </c>
      <c r="B20" s="1464"/>
      <c r="C20" s="1464"/>
      <c r="D20" s="337">
        <f>VLOOKUP('Estate Tax Estimator'!$D$45,'Estate Tax Sch'!$A$3:$I$19,3)+(VLOOKUP('Estate Tax Estimator'!$D$45,'Estate Tax Sch'!$A$3:$I$19,4)*('Estate Tax Estimator'!$D$45-VLOOKUP('Estate Tax Estimator'!$D$45,'Estate Tax Sch'!$A$3:$I$19,1)))</f>
        <v>0</v>
      </c>
      <c r="E20" s="338">
        <f>VLOOKUP('Estate Tax Estimator'!$D$45,'Estate Tax Sch'!$A$3:$I$19,3)+(VLOOKUP('Estate Tax Estimator'!$D$45,'Estate Tax Sch'!$A$3:$I$19,5)*('Estate Tax Estimator'!$D$45-VLOOKUP('Estate Tax Estimator'!$D$45,'Estate Tax Sch'!$A$3:$I$19,1)))</f>
        <v>0</v>
      </c>
      <c r="F20" s="338">
        <f>VLOOKUP('Estate Tax Estimator'!$D$45,'Estate Tax Sch'!$A$3:$I$19,3)+(VLOOKUP('Estate Tax Estimator'!$D$45,'Estate Tax Sch'!$A$3:$I$19,6)*('Estate Tax Estimator'!$D$45-VLOOKUP('Estate Tax Estimator'!$D$45,'Estate Tax Sch'!$A$3:$I$19,1)))</f>
        <v>0</v>
      </c>
      <c r="G20" s="338">
        <f>VLOOKUP('Estate Tax Estimator'!$D$45,'Estate Tax Sch'!$A$3:$I$19,3)+(VLOOKUP('Estate Tax Estimator'!$D$45,'Estate Tax Sch'!$A$3:$I$19,7)*('Estate Tax Estimator'!$D$45-VLOOKUP('Estate Tax Estimator'!$D$45,'Estate Tax Sch'!$A$3:$I$19,1)))</f>
        <v>0</v>
      </c>
      <c r="H20" s="338">
        <f>VLOOKUP('Estate Tax Estimator'!$D$45,'Estate Tax Sch'!$A$3:$I$19,3)+(VLOOKUP('Estate Tax Estimator'!$D$45,'Estate Tax Sch'!$A$3:$I$19,8)*('Estate Tax Estimator'!$D$45-VLOOKUP('Estate Tax Estimator'!$D$45,'Estate Tax Sch'!$A$3:$I$19,1)))</f>
        <v>0</v>
      </c>
      <c r="I20" s="371">
        <f>VLOOKUP('Estate Tax Estimator'!$D$45,'Estate Tax Sch'!$A$3:$I$19,3)+(VLOOKUP('Estate Tax Estimator'!$D$45,'Estate Tax Sch'!$A$3:$I$19,9)*('Estate Tax Estimator'!$D$45-VLOOKUP('Estate Tax Estimator'!$D$45,'Estate Tax Sch'!$A$3:$I$19,1)))</f>
        <v>0</v>
      </c>
      <c r="J20" s="371">
        <v>0</v>
      </c>
      <c r="K20" s="374" t="s">
        <v>677</v>
      </c>
      <c r="L20" s="375">
        <v>17184000</v>
      </c>
      <c r="M20" s="376">
        <v>5140800</v>
      </c>
      <c r="N20" s="489">
        <v>0.6</v>
      </c>
      <c r="O20" s="475" t="e">
        <f>VLOOKUP('Estate Tax Estimator'!$D$45,$K$13:$O$19,3)+(VLOOKUP('Estate Tax Estimator'!$D$45,$K$13:$O$19,5)*('Estate Tax Estimator'!$D$45-VLOOKUP('Estate Tax Estimator'!$D$45,$K$13:$O$19,1)))</f>
        <v>#N/A</v>
      </c>
    </row>
    <row r="21" spans="1:15" ht="13.5" thickBot="1">
      <c r="A21" s="1463" t="s">
        <v>350</v>
      </c>
      <c r="B21" s="1464"/>
      <c r="C21" s="1464"/>
      <c r="D21" s="337">
        <f>VLOOKUP('Estate Tax Estimator'!$F$45,'Estate Tax Sch'!$A$3:$I$19,3)+(VLOOKUP('Estate Tax Estimator'!$F$45,'Estate Tax Sch'!$A$3:$I$19,4)*('Estate Tax Estimator'!$F$45-VLOOKUP('Estate Tax Estimator'!$F$45,'Estate Tax Sch'!$A$3:$I$19,1)))</f>
        <v>0</v>
      </c>
      <c r="E21" s="338">
        <f>VLOOKUP('Estate Tax Estimator'!$F$45,'Estate Tax Sch'!$A$3:$I$19,3)+(VLOOKUP('Estate Tax Estimator'!$F$45,'Estate Tax Sch'!$A$3:$I$19,5)*('Estate Tax Estimator'!$F$45-VLOOKUP('Estate Tax Estimator'!$F$45,'Estate Tax Sch'!$A$3:$I$19,1)))</f>
        <v>0</v>
      </c>
      <c r="F21" s="338">
        <f>VLOOKUP('Estate Tax Estimator'!$F$45,'Estate Tax Sch'!$A$3:$I$19,3)+(VLOOKUP('Estate Tax Estimator'!$F$45,'Estate Tax Sch'!$A$3:$I$19,6)*('Estate Tax Estimator'!$F$45-VLOOKUP('Estate Tax Estimator'!$F$45,'Estate Tax Sch'!$A$3:$I$19,1)))</f>
        <v>0</v>
      </c>
      <c r="G21" s="338">
        <f>VLOOKUP('Estate Tax Estimator'!$F$45,'Estate Tax Sch'!$A$3:$I$19,3)+(VLOOKUP('Estate Tax Estimator'!$F$45,'Estate Tax Sch'!$A$3:$I$19,7)*('Estate Tax Estimator'!$F$45-VLOOKUP('Estate Tax Estimator'!$F$45,'Estate Tax Sch'!$A$3:$I$19,1)))</f>
        <v>0</v>
      </c>
      <c r="H21" s="338">
        <f>VLOOKUP('Estate Tax Estimator'!$F$45,'Estate Tax Sch'!$A$3:$I$19,3)+(VLOOKUP('Estate Tax Estimator'!$F$45,'Estate Tax Sch'!$A$3:$I$19,8)*('Estate Tax Estimator'!$F$45-VLOOKUP('Estate Tax Estimator'!$F$45,'Estate Tax Sch'!$A$3:$I$19,1)))</f>
        <v>0</v>
      </c>
      <c r="I21" s="371">
        <f>VLOOKUP('Estate Tax Estimator'!$F$45,'Estate Tax Sch'!$A$3:$I$19,3)+(VLOOKUP('Estate Tax Estimator'!$F$45,'Estate Tax Sch'!$A$3:$I$19,9)*('Estate Tax Estimator'!$F$45-VLOOKUP('Estate Tax Estimator'!$F$45,'Estate Tax Sch'!$A$3:$I$19,1)))</f>
        <v>0</v>
      </c>
      <c r="J21" s="371">
        <v>0</v>
      </c>
      <c r="K21" s="377">
        <v>17184000</v>
      </c>
      <c r="L21" s="313"/>
      <c r="M21" s="378">
        <v>9451200</v>
      </c>
      <c r="N21" s="489">
        <v>0.55</v>
      </c>
      <c r="O21" s="475" t="e">
        <f>VLOOKUP('Estate Tax Estimator'!$F$45,$K$13:$O$19,3)+(VLOOKUP('Estate Tax Estimator'!$F$45,$K$13:$O$19,5)*('Estate Tax Estimator'!$F$45-VLOOKUP('Estate Tax Estimator'!$F$45,$K$13:$O$19,1)))</f>
        <v>#N/A</v>
      </c>
    </row>
    <row r="22" spans="1:15" ht="13.5" thickBot="1">
      <c r="A22" s="302"/>
      <c r="B22" s="302"/>
      <c r="C22" s="302"/>
      <c r="K22" s="313"/>
      <c r="L22" s="313"/>
      <c r="M22" s="313"/>
      <c r="N22" s="490">
        <f>VLOOKUP('Estate Tax Estimator'!$D$45,$K$3:$N$21,3)+(VLOOKUP('Estate Tax Estimator'!$D$45,$K$3:$N$21,4)*('Estate Tax Estimator'!$D$45-VLOOKUP('Estate Tax Estimator'!$D$45,$K$3:$N$21,1)))</f>
        <v>0</v>
      </c>
      <c r="O22" s="302"/>
    </row>
    <row r="23" spans="1:15" s="170" customFormat="1" ht="13.5" thickBot="1">
      <c r="A23" s="437"/>
      <c r="B23" s="437"/>
      <c r="C23" s="437"/>
      <c r="D23" s="313"/>
      <c r="E23" s="313"/>
      <c r="F23" s="313"/>
      <c r="G23" s="313"/>
      <c r="H23" s="313"/>
      <c r="I23" s="313"/>
      <c r="J23" s="313"/>
      <c r="K23" s="313"/>
      <c r="L23" s="313"/>
      <c r="M23" s="313"/>
      <c r="N23" s="490">
        <f>VLOOKUP('Estate Tax Estimator'!$F$45,$K$3:$O$19,3)+(VLOOKUP('Estate Tax Estimator'!$F$45,$K$3:$O$19,4)*('Estate Tax Estimator'!$F$45-VLOOKUP('Estate Tax Estimator'!$F$45,$K$3:$O$19,1)))</f>
        <v>0</v>
      </c>
      <c r="O23" s="432"/>
    </row>
    <row r="24" spans="1:15" ht="12.75" customHeight="1">
      <c r="A24" s="1454" t="s">
        <v>347</v>
      </c>
      <c r="B24" s="1456" t="s">
        <v>348</v>
      </c>
      <c r="C24" s="1449" t="s">
        <v>151</v>
      </c>
      <c r="D24" s="1451" t="s">
        <v>594</v>
      </c>
      <c r="E24" s="1452"/>
      <c r="F24" s="1452"/>
      <c r="G24" s="1452"/>
      <c r="H24" s="1452"/>
      <c r="I24" s="1452"/>
      <c r="J24" s="1453"/>
      <c r="K24" s="1454" t="s">
        <v>347</v>
      </c>
      <c r="L24" s="1456" t="s">
        <v>348</v>
      </c>
      <c r="M24" s="1449" t="s">
        <v>151</v>
      </c>
      <c r="O24" s="474"/>
    </row>
    <row r="25" spans="1:15" ht="25.5" customHeight="1" thickBot="1">
      <c r="A25" s="1455"/>
      <c r="B25" s="1457"/>
      <c r="C25" s="1450"/>
      <c r="D25" s="321">
        <v>2004</v>
      </c>
      <c r="E25" s="320">
        <v>2005</v>
      </c>
      <c r="F25" s="320">
        <v>2006</v>
      </c>
      <c r="G25" s="320">
        <v>2007</v>
      </c>
      <c r="H25" s="320">
        <v>2008</v>
      </c>
      <c r="I25" s="320">
        <v>2009</v>
      </c>
      <c r="J25" s="320">
        <v>2010</v>
      </c>
      <c r="K25" s="1455"/>
      <c r="L25" s="1457"/>
      <c r="M25" s="1450"/>
      <c r="N25" s="379">
        <f>IF('Estate Tax Estimator'!D58&lt;2011,2011,'Estate Tax Estimator'!D58)</f>
        <v>2011</v>
      </c>
      <c r="O25" s="480">
        <f>IF('Estate Tax Estimator'!D82&lt;2012,2012,'Estate Tax Estimator'!D82)</f>
        <v>2012</v>
      </c>
    </row>
    <row r="26" spans="1:15" ht="12.75">
      <c r="A26" s="324">
        <v>0</v>
      </c>
      <c r="B26" s="325">
        <v>10000</v>
      </c>
      <c r="C26" s="326">
        <v>0</v>
      </c>
      <c r="D26" s="322">
        <v>0.18</v>
      </c>
      <c r="E26" s="318">
        <v>0.18</v>
      </c>
      <c r="F26" s="318">
        <v>0.18</v>
      </c>
      <c r="G26" s="318">
        <v>0.18</v>
      </c>
      <c r="H26" s="318">
        <v>0.18</v>
      </c>
      <c r="I26" s="367">
        <v>0.18</v>
      </c>
      <c r="J26" s="367">
        <v>0</v>
      </c>
      <c r="K26" s="324">
        <v>0</v>
      </c>
      <c r="L26" s="325">
        <v>10000</v>
      </c>
      <c r="M26" s="326">
        <v>0</v>
      </c>
      <c r="N26" s="486">
        <v>0.18</v>
      </c>
      <c r="O26" s="491"/>
    </row>
    <row r="27" spans="1:15" ht="12.75">
      <c r="A27" s="327">
        <v>10000</v>
      </c>
      <c r="B27" s="317">
        <v>20000</v>
      </c>
      <c r="C27" s="328">
        <v>1800</v>
      </c>
      <c r="D27" s="323">
        <v>0.2</v>
      </c>
      <c r="E27" s="319">
        <v>0.2</v>
      </c>
      <c r="F27" s="319">
        <v>0.2</v>
      </c>
      <c r="G27" s="319">
        <v>0.2</v>
      </c>
      <c r="H27" s="319">
        <v>0.2</v>
      </c>
      <c r="I27" s="368">
        <v>0.2</v>
      </c>
      <c r="J27" s="368">
        <v>0</v>
      </c>
      <c r="K27" s="327">
        <v>10000</v>
      </c>
      <c r="L27" s="317">
        <v>20000</v>
      </c>
      <c r="M27" s="328">
        <v>1800</v>
      </c>
      <c r="N27" s="487">
        <v>0.2</v>
      </c>
      <c r="O27" s="483"/>
    </row>
    <row r="28" spans="1:15" ht="12.75">
      <c r="A28" s="327">
        <v>20000</v>
      </c>
      <c r="B28" s="317">
        <v>40000</v>
      </c>
      <c r="C28" s="328">
        <v>3800</v>
      </c>
      <c r="D28" s="323">
        <v>0.22</v>
      </c>
      <c r="E28" s="319">
        <v>0.22</v>
      </c>
      <c r="F28" s="319">
        <v>0.22</v>
      </c>
      <c r="G28" s="319">
        <v>0.22</v>
      </c>
      <c r="H28" s="319">
        <v>0.22</v>
      </c>
      <c r="I28" s="368">
        <v>0.22</v>
      </c>
      <c r="J28" s="368">
        <v>0</v>
      </c>
      <c r="K28" s="327">
        <v>20000</v>
      </c>
      <c r="L28" s="317">
        <v>40000</v>
      </c>
      <c r="M28" s="328">
        <v>3800</v>
      </c>
      <c r="N28" s="487">
        <v>0.22</v>
      </c>
      <c r="O28" s="483"/>
    </row>
    <row r="29" spans="1:15" ht="12.75">
      <c r="A29" s="327">
        <v>40000</v>
      </c>
      <c r="B29" s="317">
        <v>60000</v>
      </c>
      <c r="C29" s="328">
        <v>8200</v>
      </c>
      <c r="D29" s="323">
        <v>0.24</v>
      </c>
      <c r="E29" s="319">
        <v>0.24</v>
      </c>
      <c r="F29" s="319">
        <v>0.24</v>
      </c>
      <c r="G29" s="319">
        <v>0.24</v>
      </c>
      <c r="H29" s="319">
        <v>0.24</v>
      </c>
      <c r="I29" s="368">
        <v>0.24</v>
      </c>
      <c r="J29" s="368">
        <v>0</v>
      </c>
      <c r="K29" s="327">
        <v>40000</v>
      </c>
      <c r="L29" s="317">
        <v>60000</v>
      </c>
      <c r="M29" s="328">
        <v>8200</v>
      </c>
      <c r="N29" s="487">
        <v>0.24</v>
      </c>
      <c r="O29" s="483"/>
    </row>
    <row r="30" spans="1:15" ht="12.75">
      <c r="A30" s="327">
        <v>60000</v>
      </c>
      <c r="B30" s="317">
        <v>80000</v>
      </c>
      <c r="C30" s="328">
        <v>13000</v>
      </c>
      <c r="D30" s="323">
        <v>0.26</v>
      </c>
      <c r="E30" s="319">
        <v>0.26</v>
      </c>
      <c r="F30" s="319">
        <v>0.26</v>
      </c>
      <c r="G30" s="319">
        <v>0.26</v>
      </c>
      <c r="H30" s="319">
        <v>0.26</v>
      </c>
      <c r="I30" s="368">
        <v>0.26</v>
      </c>
      <c r="J30" s="368">
        <v>0</v>
      </c>
      <c r="K30" s="327">
        <v>60000</v>
      </c>
      <c r="L30" s="317">
        <v>80000</v>
      </c>
      <c r="M30" s="328">
        <v>13000</v>
      </c>
      <c r="N30" s="487">
        <v>0.26</v>
      </c>
      <c r="O30" s="483"/>
    </row>
    <row r="31" spans="1:15" ht="12.75">
      <c r="A31" s="327">
        <v>80000</v>
      </c>
      <c r="B31" s="317">
        <v>100000</v>
      </c>
      <c r="C31" s="328">
        <v>18200</v>
      </c>
      <c r="D31" s="323">
        <v>0.28</v>
      </c>
      <c r="E31" s="319">
        <v>0.28</v>
      </c>
      <c r="F31" s="319">
        <v>0.28</v>
      </c>
      <c r="G31" s="319">
        <v>0.28</v>
      </c>
      <c r="H31" s="319">
        <v>0.28</v>
      </c>
      <c r="I31" s="368">
        <v>0.28</v>
      </c>
      <c r="J31" s="368">
        <v>0</v>
      </c>
      <c r="K31" s="327">
        <v>80000</v>
      </c>
      <c r="L31" s="317">
        <v>100000</v>
      </c>
      <c r="M31" s="328">
        <v>18200</v>
      </c>
      <c r="N31" s="487">
        <v>0.28</v>
      </c>
      <c r="O31" s="483"/>
    </row>
    <row r="32" spans="1:15" ht="12.75">
      <c r="A32" s="327">
        <v>100000</v>
      </c>
      <c r="B32" s="317">
        <v>150000</v>
      </c>
      <c r="C32" s="328">
        <v>23800</v>
      </c>
      <c r="D32" s="323">
        <v>0.3</v>
      </c>
      <c r="E32" s="319">
        <v>0.3</v>
      </c>
      <c r="F32" s="319">
        <v>0.3</v>
      </c>
      <c r="G32" s="319">
        <v>0.3</v>
      </c>
      <c r="H32" s="319">
        <v>0.3</v>
      </c>
      <c r="I32" s="368">
        <v>0.3</v>
      </c>
      <c r="J32" s="368">
        <v>0</v>
      </c>
      <c r="K32" s="327">
        <v>100000</v>
      </c>
      <c r="L32" s="317">
        <v>150000</v>
      </c>
      <c r="M32" s="328">
        <v>23800</v>
      </c>
      <c r="N32" s="487">
        <v>0.3</v>
      </c>
      <c r="O32" s="483"/>
    </row>
    <row r="33" spans="1:15" ht="12.75">
      <c r="A33" s="327">
        <v>150000</v>
      </c>
      <c r="B33" s="317">
        <v>250000</v>
      </c>
      <c r="C33" s="328">
        <v>38800</v>
      </c>
      <c r="D33" s="323">
        <v>0.32</v>
      </c>
      <c r="E33" s="319">
        <v>0.32</v>
      </c>
      <c r="F33" s="319">
        <v>0.32</v>
      </c>
      <c r="G33" s="319">
        <v>0.32</v>
      </c>
      <c r="H33" s="319">
        <v>0.32</v>
      </c>
      <c r="I33" s="368">
        <v>0.32</v>
      </c>
      <c r="J33" s="368">
        <v>0</v>
      </c>
      <c r="K33" s="327">
        <v>150000</v>
      </c>
      <c r="L33" s="317">
        <v>250000</v>
      </c>
      <c r="M33" s="328">
        <v>38800</v>
      </c>
      <c r="N33" s="487">
        <v>0.32</v>
      </c>
      <c r="O33" s="483"/>
    </row>
    <row r="34" spans="1:15" ht="12.75">
      <c r="A34" s="327">
        <v>250000</v>
      </c>
      <c r="B34" s="317">
        <v>500000</v>
      </c>
      <c r="C34" s="328">
        <v>70800</v>
      </c>
      <c r="D34" s="323">
        <v>0.34</v>
      </c>
      <c r="E34" s="319">
        <v>0.34</v>
      </c>
      <c r="F34" s="319">
        <v>0.34</v>
      </c>
      <c r="G34" s="319">
        <v>0.34</v>
      </c>
      <c r="H34" s="319">
        <v>0.34</v>
      </c>
      <c r="I34" s="368">
        <v>0.34</v>
      </c>
      <c r="J34" s="368">
        <v>0</v>
      </c>
      <c r="K34" s="327">
        <v>250000</v>
      </c>
      <c r="L34" s="317">
        <v>500000</v>
      </c>
      <c r="M34" s="328">
        <v>70800</v>
      </c>
      <c r="N34" s="487">
        <v>0.34</v>
      </c>
      <c r="O34" s="483"/>
    </row>
    <row r="35" spans="1:15" ht="12.75">
      <c r="A35" s="327">
        <v>500000</v>
      </c>
      <c r="B35" s="317">
        <v>750000</v>
      </c>
      <c r="C35" s="328">
        <v>155800</v>
      </c>
      <c r="D35" s="323">
        <v>0.37</v>
      </c>
      <c r="E35" s="319">
        <v>0.37</v>
      </c>
      <c r="F35" s="319">
        <v>0.37</v>
      </c>
      <c r="G35" s="319">
        <v>0.37</v>
      </c>
      <c r="H35" s="319">
        <v>0.37</v>
      </c>
      <c r="I35" s="368">
        <v>0.37</v>
      </c>
      <c r="J35" s="368">
        <v>0</v>
      </c>
      <c r="K35" s="327">
        <v>500000</v>
      </c>
      <c r="L35" s="317">
        <v>750000</v>
      </c>
      <c r="M35" s="328">
        <v>155800</v>
      </c>
      <c r="N35" s="487">
        <v>0.37</v>
      </c>
      <c r="O35" s="483"/>
    </row>
    <row r="36" spans="1:15" ht="12.75">
      <c r="A36" s="327">
        <v>750000</v>
      </c>
      <c r="B36" s="317">
        <v>1000000</v>
      </c>
      <c r="C36" s="328">
        <v>248300</v>
      </c>
      <c r="D36" s="323">
        <v>0.39</v>
      </c>
      <c r="E36" s="319">
        <v>0.39</v>
      </c>
      <c r="F36" s="319">
        <v>0.39</v>
      </c>
      <c r="G36" s="319">
        <v>0.39</v>
      </c>
      <c r="H36" s="319">
        <v>0.39</v>
      </c>
      <c r="I36" s="368">
        <v>0.39</v>
      </c>
      <c r="J36" s="368">
        <v>0</v>
      </c>
      <c r="K36" s="327">
        <v>750000</v>
      </c>
      <c r="L36" s="317">
        <v>1000000</v>
      </c>
      <c r="M36" s="328">
        <v>248300</v>
      </c>
      <c r="N36" s="487">
        <v>0.39</v>
      </c>
      <c r="O36" s="483">
        <v>0</v>
      </c>
    </row>
    <row r="37" spans="1:15" ht="12.75">
      <c r="A37" s="327">
        <v>1000000</v>
      </c>
      <c r="B37" s="317">
        <v>1250000</v>
      </c>
      <c r="C37" s="328">
        <v>345800</v>
      </c>
      <c r="D37" s="323">
        <v>0.41</v>
      </c>
      <c r="E37" s="319">
        <v>0.41</v>
      </c>
      <c r="F37" s="319">
        <v>0.41</v>
      </c>
      <c r="G37" s="319">
        <v>0.41</v>
      </c>
      <c r="H37" s="319">
        <v>0.41</v>
      </c>
      <c r="I37" s="368">
        <v>0.41</v>
      </c>
      <c r="J37" s="368">
        <v>0</v>
      </c>
      <c r="K37" s="327">
        <v>1000000</v>
      </c>
      <c r="L37" s="317">
        <v>1250000</v>
      </c>
      <c r="M37" s="328">
        <v>345800</v>
      </c>
      <c r="N37" s="488">
        <v>0.41</v>
      </c>
      <c r="O37" s="483">
        <v>0.41</v>
      </c>
    </row>
    <row r="38" spans="1:15" ht="12.75">
      <c r="A38" s="327">
        <v>1250000</v>
      </c>
      <c r="B38" s="317">
        <v>1500000</v>
      </c>
      <c r="C38" s="328">
        <v>448300</v>
      </c>
      <c r="D38" s="323">
        <v>0.43</v>
      </c>
      <c r="E38" s="319">
        <v>0.43</v>
      </c>
      <c r="F38" s="319">
        <v>0.43</v>
      </c>
      <c r="G38" s="319">
        <v>0.43</v>
      </c>
      <c r="H38" s="319">
        <v>0.43</v>
      </c>
      <c r="I38" s="368">
        <v>0.43</v>
      </c>
      <c r="J38" s="368">
        <v>0</v>
      </c>
      <c r="K38" s="327">
        <v>1250000</v>
      </c>
      <c r="L38" s="317">
        <v>1500000</v>
      </c>
      <c r="M38" s="328">
        <v>448300</v>
      </c>
      <c r="N38" s="488">
        <v>0.43</v>
      </c>
      <c r="O38" s="483">
        <v>0.43</v>
      </c>
    </row>
    <row r="39" spans="1:15" ht="12.75">
      <c r="A39" s="327">
        <v>1500000</v>
      </c>
      <c r="B39" s="317">
        <v>2000000</v>
      </c>
      <c r="C39" s="328">
        <v>555800</v>
      </c>
      <c r="D39" s="323">
        <v>0.45</v>
      </c>
      <c r="E39" s="319">
        <v>0.45</v>
      </c>
      <c r="F39" s="319">
        <v>0.45</v>
      </c>
      <c r="G39" s="319">
        <v>0.45</v>
      </c>
      <c r="H39" s="319">
        <v>0.45</v>
      </c>
      <c r="I39" s="368">
        <v>0.45</v>
      </c>
      <c r="J39" s="368">
        <v>0</v>
      </c>
      <c r="K39" s="327">
        <v>1500000</v>
      </c>
      <c r="L39" s="317">
        <v>2000000</v>
      </c>
      <c r="M39" s="328">
        <v>555800</v>
      </c>
      <c r="N39" s="488">
        <v>0.45</v>
      </c>
      <c r="O39" s="483">
        <v>0.45</v>
      </c>
    </row>
    <row r="40" spans="1:15" ht="12.75">
      <c r="A40" s="327">
        <v>2000000</v>
      </c>
      <c r="B40" s="317"/>
      <c r="C40" s="328">
        <v>780800</v>
      </c>
      <c r="D40" s="323">
        <v>0.48</v>
      </c>
      <c r="E40" s="319">
        <v>0.47</v>
      </c>
      <c r="F40" s="319">
        <v>0.46</v>
      </c>
      <c r="G40" s="319">
        <v>0.45</v>
      </c>
      <c r="H40" s="319">
        <v>0.45</v>
      </c>
      <c r="I40" s="368">
        <v>0.45</v>
      </c>
      <c r="J40" s="368">
        <v>0</v>
      </c>
      <c r="K40" s="327">
        <v>2000000</v>
      </c>
      <c r="L40" s="317">
        <v>2500000</v>
      </c>
      <c r="M40" s="328">
        <v>780800</v>
      </c>
      <c r="N40" s="488">
        <v>0.49</v>
      </c>
      <c r="O40" s="483">
        <v>0.49</v>
      </c>
    </row>
    <row r="41" spans="1:15" ht="12.75">
      <c r="A41" s="329"/>
      <c r="B41" s="330"/>
      <c r="C41" s="434"/>
      <c r="D41" s="335">
        <v>0.48</v>
      </c>
      <c r="E41" s="336">
        <v>0.47</v>
      </c>
      <c r="F41" s="336">
        <v>0.46</v>
      </c>
      <c r="G41" s="336">
        <v>0.45</v>
      </c>
      <c r="H41" s="336">
        <v>0.45</v>
      </c>
      <c r="I41" s="369">
        <v>0.45</v>
      </c>
      <c r="J41" s="369">
        <v>0</v>
      </c>
      <c r="K41" s="329">
        <v>2500000</v>
      </c>
      <c r="L41" s="330">
        <v>3000000</v>
      </c>
      <c r="M41" s="331">
        <v>1025800</v>
      </c>
      <c r="N41" s="488">
        <v>0.53</v>
      </c>
      <c r="O41" s="483">
        <v>0.53</v>
      </c>
    </row>
    <row r="42" spans="1:15" ht="13.5" thickBot="1">
      <c r="A42" s="332"/>
      <c r="B42" s="333"/>
      <c r="C42" s="334"/>
      <c r="D42" s="339"/>
      <c r="E42" s="340"/>
      <c r="F42" s="340"/>
      <c r="G42" s="340"/>
      <c r="H42" s="340"/>
      <c r="I42" s="370">
        <v>0.45</v>
      </c>
      <c r="J42" s="370">
        <v>0</v>
      </c>
      <c r="K42" s="332">
        <v>3000000</v>
      </c>
      <c r="L42" s="499">
        <v>10000000</v>
      </c>
      <c r="M42" s="436">
        <v>1290800</v>
      </c>
      <c r="N42" s="493">
        <v>0.55</v>
      </c>
      <c r="O42" s="492">
        <v>0.55</v>
      </c>
    </row>
    <row r="43" spans="1:15" ht="13.5" thickBot="1">
      <c r="A43" s="1463" t="s">
        <v>351</v>
      </c>
      <c r="B43" s="1464"/>
      <c r="C43" s="1464"/>
      <c r="D43" s="337">
        <f>VLOOKUP('Estate Tax Estimator'!$D$81,'Estate Tax Sch'!$A$26:$I$42,3)+(VLOOKUP('Estate Tax Estimator'!$D$81,'Estate Tax Sch'!$A$26:$I$42,4)*('Estate Tax Estimator'!$D$81-VLOOKUP('Estate Tax Estimator'!$D$81,'Estate Tax Sch'!$A$26:$I$42,1)))</f>
        <v>0</v>
      </c>
      <c r="E43" s="338">
        <f>VLOOKUP('Estate Tax Estimator'!D81,'Estate Tax Sch'!$A$26:$I$42,3)+(VLOOKUP('Estate Tax Estimator'!D81,'Estate Tax Sch'!$A$26:$I$42,5)*('Estate Tax Estimator'!D81-VLOOKUP('Estate Tax Estimator'!D81,'Estate Tax Sch'!$A$26:$I$42,1)))</f>
        <v>0</v>
      </c>
      <c r="F43" s="338">
        <f>VLOOKUP('Estate Tax Estimator'!D81,'Estate Tax Sch'!$A$26:$I$42,3)+(VLOOKUP('Estate Tax Estimator'!D81,'Estate Tax Sch'!$A$26:$I$42,6)*('Estate Tax Estimator'!D81-VLOOKUP('Estate Tax Estimator'!D81,'Estate Tax Sch'!$A$26:$I$42,1)))</f>
        <v>0</v>
      </c>
      <c r="G43" s="338">
        <f>VLOOKUP('Estate Tax Estimator'!D81,'Estate Tax Sch'!$A$26:$I$42,3)+(VLOOKUP('Estate Tax Estimator'!D81,'Estate Tax Sch'!$A$26:$I$42,7)*('Estate Tax Estimator'!D81-VLOOKUP('Estate Tax Estimator'!D81,'Estate Tax Sch'!$A$26:$I$42,1)))</f>
        <v>0</v>
      </c>
      <c r="H43" s="338">
        <f>VLOOKUP('Estate Tax Estimator'!D81,'Estate Tax Sch'!$A$26:$I$42,3)+(VLOOKUP('Estate Tax Estimator'!D81,'Estate Tax Sch'!$A$26:$I$42,8)*('Estate Tax Estimator'!D81-VLOOKUP('Estate Tax Estimator'!D81,'Estate Tax Sch'!$A$26:$I$42,1)))</f>
        <v>0</v>
      </c>
      <c r="I43" s="338">
        <f>VLOOKUP('Estate Tax Estimator'!D81,'Estate Tax Sch'!$A$26:$I$42,3)+(VLOOKUP('Estate Tax Estimator'!D81,'Estate Tax Sch'!$A$26:$I$42,9)*('Estate Tax Estimator'!D81-VLOOKUP('Estate Tax Estimator'!D81,'Estate Tax Sch'!$A$26:$I$42,1)))</f>
        <v>0</v>
      </c>
      <c r="J43" s="435">
        <v>0</v>
      </c>
      <c r="K43" s="499">
        <v>10000000</v>
      </c>
      <c r="L43" s="377">
        <v>17184000</v>
      </c>
      <c r="M43" s="376">
        <v>5140800</v>
      </c>
      <c r="N43" s="500">
        <v>0.6</v>
      </c>
      <c r="O43" s="475" t="e">
        <f>VLOOKUP('Estate Tax Estimator'!D81,K36:O42,3)+(VLOOKUP('Estate Tax Estimator'!D81,K36:O42,5)*('Estate Tax Estimator'!D81-VLOOKUP('Estate Tax Estimator'!D81,K36:O42,1)))</f>
        <v>#N/A</v>
      </c>
    </row>
    <row r="44" spans="1:15" ht="13.5" thickBot="1">
      <c r="A44" s="1463" t="s">
        <v>352</v>
      </c>
      <c r="B44" s="1464"/>
      <c r="C44" s="1464"/>
      <c r="D44" s="337">
        <f>VLOOKUP('Estate Tax Estimator'!F81,'Estate Tax Sch'!$A$26:$I$42,3)+(VLOOKUP('Estate Tax Estimator'!F81,'Estate Tax Sch'!$A$26:$I$42,4)*('Estate Tax Estimator'!F81-VLOOKUP('Estate Tax Estimator'!F81,'Estate Tax Sch'!$A$26:$I$42,1)))</f>
        <v>0</v>
      </c>
      <c r="E44" s="338">
        <f>VLOOKUP('Estate Tax Estimator'!F81,'Estate Tax Sch'!$A$26:$I$42,3)+(VLOOKUP('Estate Tax Estimator'!F81,'Estate Tax Sch'!$A$26:$I$42,5)*('Estate Tax Estimator'!F81-VLOOKUP('Estate Tax Estimator'!F81,'Estate Tax Sch'!$A$26:$I$42,1)))</f>
        <v>0</v>
      </c>
      <c r="F44" s="338">
        <f>VLOOKUP('Estate Tax Estimator'!F81,'Estate Tax Sch'!$A$25:$I$41,3)+(VLOOKUP('Estate Tax Estimator'!F81,'Estate Tax Sch'!$A$25:$I$41,6)*('Estate Tax Estimator'!F81-VLOOKUP('Estate Tax Estimator'!F81,'Estate Tax Sch'!$A$25:$I$41,1)))</f>
        <v>0</v>
      </c>
      <c r="G44" s="338">
        <f>VLOOKUP('Estate Tax Estimator'!F81,'Estate Tax Sch'!$A$26:$I$42,3)+(VLOOKUP('Estate Tax Estimator'!F81,'Estate Tax Sch'!$A$26:$I$42,7)*('Estate Tax Estimator'!F81-VLOOKUP('Estate Tax Estimator'!F81,'Estate Tax Sch'!$A$26:$I$42,1)))</f>
        <v>0</v>
      </c>
      <c r="H44" s="338">
        <f>VLOOKUP('Estate Tax Estimator'!F81,'Estate Tax Sch'!$A$26:$I$42,3)+(VLOOKUP('Estate Tax Estimator'!F81,'Estate Tax Sch'!$A$26:$I$42,8)*('Estate Tax Estimator'!F81-VLOOKUP('Estate Tax Estimator'!F81,'Estate Tax Sch'!$A$26:$I$42,1)))</f>
        <v>0</v>
      </c>
      <c r="I44" s="338">
        <f>VLOOKUP('Estate Tax Estimator'!F81,'Estate Tax Sch'!$A$26:$I$42,3)+(VLOOKUP('Estate Tax Estimator'!F81,'Estate Tax Sch'!$A$26:$I$42,9)*('Estate Tax Estimator'!F81-VLOOKUP('Estate Tax Estimator'!F81,'Estate Tax Sch'!$A$26:$I$42,1)))</f>
        <v>0</v>
      </c>
      <c r="J44" s="435">
        <v>0</v>
      </c>
      <c r="K44" s="377">
        <v>17184000</v>
      </c>
      <c r="L44" s="313"/>
      <c r="M44" s="378">
        <v>9451200</v>
      </c>
      <c r="N44" s="500">
        <v>0.55</v>
      </c>
      <c r="O44" s="475" t="e">
        <f>VLOOKUP('Estate Tax Estimator'!F81,K36:O42,3)+(VLOOKUP('Estate Tax Estimator'!F81,K36:O42,5)*('Estate Tax Estimator'!F81-VLOOKUP('Estate Tax Estimator'!F81,K36:O42,1)))</f>
        <v>#N/A</v>
      </c>
    </row>
    <row r="45" spans="1:15" ht="13.5" thickBot="1">
      <c r="A45" s="341"/>
      <c r="B45" s="341"/>
      <c r="C45" s="341"/>
      <c r="D45" s="313"/>
      <c r="E45" s="313"/>
      <c r="F45" s="313"/>
      <c r="G45" s="313"/>
      <c r="H45" s="313"/>
      <c r="I45" s="313"/>
      <c r="J45" s="313"/>
      <c r="K45" s="313"/>
      <c r="L45" s="313"/>
      <c r="M45" s="313"/>
      <c r="N45" s="490">
        <f>VLOOKUP('Estate Tax Estimator'!D81,K26:O42,3)+(VLOOKUP('Estate Tax Estimator'!D81,K26:O42,4)*('Estate Tax Estimator'!D81-VLOOKUP('Estate Tax Estimator'!D81,K26:O42,1)))</f>
        <v>0</v>
      </c>
      <c r="O45" s="313"/>
    </row>
    <row r="46" spans="1:14" ht="13.5" thickBot="1">
      <c r="A46" s="341"/>
      <c r="B46" s="341"/>
      <c r="C46" s="341"/>
      <c r="F46" s="433"/>
      <c r="N46" s="490">
        <f>VLOOKUP('Estate Tax Estimator'!F81,K26:O42,3)+(VLOOKUP('Estate Tax Estimator'!F81,K26:O42,4)*('Estate Tax Estimator'!F81-VLOOKUP('Estate Tax Estimator'!F81,K26:O42,1)))</f>
        <v>0</v>
      </c>
    </row>
    <row r="47" spans="1:14" ht="12.75">
      <c r="A47" s="1460" t="s">
        <v>152</v>
      </c>
      <c r="B47" s="1461"/>
      <c r="C47" s="1462"/>
      <c r="N47" s="313"/>
    </row>
    <row r="48" spans="1:3" ht="38.25">
      <c r="A48" s="314" t="s">
        <v>105</v>
      </c>
      <c r="B48" s="315" t="s">
        <v>153</v>
      </c>
      <c r="C48" s="316" t="s">
        <v>154</v>
      </c>
    </row>
    <row r="49" spans="1:3" ht="12.75" customHeight="1">
      <c r="A49" s="380">
        <v>2003</v>
      </c>
      <c r="B49" s="381">
        <v>1000000</v>
      </c>
      <c r="C49" s="382">
        <v>345800</v>
      </c>
    </row>
    <row r="50" spans="1:3" ht="12.75" customHeight="1">
      <c r="A50" s="380">
        <v>2004</v>
      </c>
      <c r="B50" s="381">
        <v>1500000</v>
      </c>
      <c r="C50" s="382">
        <v>555800</v>
      </c>
    </row>
    <row r="51" spans="1:3" ht="12.75" customHeight="1">
      <c r="A51" s="380">
        <v>2005</v>
      </c>
      <c r="B51" s="381">
        <v>1500000</v>
      </c>
      <c r="C51" s="382">
        <v>555800</v>
      </c>
    </row>
    <row r="52" spans="1:3" ht="12.75" customHeight="1">
      <c r="A52" s="380">
        <v>2006</v>
      </c>
      <c r="B52" s="381">
        <v>2000000</v>
      </c>
      <c r="C52" s="382">
        <v>780800</v>
      </c>
    </row>
    <row r="53" spans="1:3" ht="12.75" customHeight="1">
      <c r="A53" s="380">
        <v>2007</v>
      </c>
      <c r="B53" s="381">
        <v>2000000</v>
      </c>
      <c r="C53" s="382">
        <v>780800</v>
      </c>
    </row>
    <row r="54" spans="1:3" ht="12.75" customHeight="1">
      <c r="A54" s="380">
        <v>2008</v>
      </c>
      <c r="B54" s="381">
        <v>2000000</v>
      </c>
      <c r="C54" s="382">
        <v>780800</v>
      </c>
    </row>
    <row r="55" spans="1:3" ht="12.75" customHeight="1">
      <c r="A55" s="380">
        <v>2009</v>
      </c>
      <c r="B55" s="381">
        <v>3500000</v>
      </c>
      <c r="C55" s="382">
        <v>1455800</v>
      </c>
    </row>
    <row r="56" spans="1:3" ht="12.75" customHeight="1">
      <c r="A56" s="380">
        <v>2010</v>
      </c>
      <c r="B56" s="381">
        <v>0</v>
      </c>
      <c r="C56" s="382">
        <v>0</v>
      </c>
    </row>
    <row r="57" spans="1:3" ht="12.75" customHeight="1">
      <c r="A57" s="380">
        <v>2011</v>
      </c>
      <c r="B57" s="381">
        <v>1000000</v>
      </c>
      <c r="C57" s="382">
        <v>345800</v>
      </c>
    </row>
    <row r="58" spans="1:3" ht="12.75">
      <c r="A58" s="383">
        <f>1+A57</f>
        <v>2012</v>
      </c>
      <c r="B58" s="381">
        <v>1000000</v>
      </c>
      <c r="C58" s="382">
        <v>345800</v>
      </c>
    </row>
    <row r="59" spans="1:3" ht="12.75">
      <c r="A59" s="383">
        <f aca="true" t="shared" si="0" ref="A59:A66">1+A58</f>
        <v>2013</v>
      </c>
      <c r="B59" s="381">
        <v>1000000</v>
      </c>
      <c r="C59" s="382">
        <v>345800</v>
      </c>
    </row>
    <row r="60" spans="1:3" ht="12.75">
      <c r="A60" s="383">
        <f t="shared" si="0"/>
        <v>2014</v>
      </c>
      <c r="B60" s="381">
        <v>1000000</v>
      </c>
      <c r="C60" s="382">
        <v>345800</v>
      </c>
    </row>
    <row r="61" spans="1:3" ht="12.75">
      <c r="A61" s="383">
        <f t="shared" si="0"/>
        <v>2015</v>
      </c>
      <c r="B61" s="381">
        <v>1000000</v>
      </c>
      <c r="C61" s="382">
        <v>345800</v>
      </c>
    </row>
    <row r="62" spans="1:3" ht="12.75">
      <c r="A62" s="383">
        <f t="shared" si="0"/>
        <v>2016</v>
      </c>
      <c r="B62" s="381">
        <v>1000000</v>
      </c>
      <c r="C62" s="382">
        <v>345800</v>
      </c>
    </row>
    <row r="63" spans="1:3" ht="12.75">
      <c r="A63" s="383">
        <f t="shared" si="0"/>
        <v>2017</v>
      </c>
      <c r="B63" s="381">
        <v>1000000</v>
      </c>
      <c r="C63" s="382">
        <v>345800</v>
      </c>
    </row>
    <row r="64" spans="1:3" ht="12.75">
      <c r="A64" s="383">
        <f t="shared" si="0"/>
        <v>2018</v>
      </c>
      <c r="B64" s="381">
        <v>1000000</v>
      </c>
      <c r="C64" s="382">
        <v>345800</v>
      </c>
    </row>
    <row r="65" spans="1:3" ht="12.75">
      <c r="A65" s="383">
        <f t="shared" si="0"/>
        <v>2019</v>
      </c>
      <c r="B65" s="381">
        <v>1000000</v>
      </c>
      <c r="C65" s="382">
        <v>345800</v>
      </c>
    </row>
    <row r="66" spans="1:3" ht="13.5" thickBot="1">
      <c r="A66" s="384">
        <f t="shared" si="0"/>
        <v>2020</v>
      </c>
      <c r="B66" s="385">
        <v>1000000</v>
      </c>
      <c r="C66" s="386">
        <v>345800</v>
      </c>
    </row>
  </sheetData>
  <sheetProtection/>
  <mergeCells count="19">
    <mergeCell ref="A1:A2"/>
    <mergeCell ref="B1:B2"/>
    <mergeCell ref="C1:C2"/>
    <mergeCell ref="A47:C47"/>
    <mergeCell ref="A20:C20"/>
    <mergeCell ref="A21:C21"/>
    <mergeCell ref="A43:C43"/>
    <mergeCell ref="A44:C44"/>
    <mergeCell ref="A24:A25"/>
    <mergeCell ref="B24:B25"/>
    <mergeCell ref="C24:C25"/>
    <mergeCell ref="D24:J24"/>
    <mergeCell ref="K24:K25"/>
    <mergeCell ref="K1:K2"/>
    <mergeCell ref="L1:L2"/>
    <mergeCell ref="M1:M2"/>
    <mergeCell ref="D1:J1"/>
    <mergeCell ref="L24:L25"/>
    <mergeCell ref="M24:M25"/>
  </mergeCells>
  <printOptions horizontalCentered="1"/>
  <pageMargins left="0.75" right="0.75" top="0.75"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15">
    <tabColor indexed="22"/>
  </sheetPr>
  <dimension ref="A1:Q53"/>
  <sheetViews>
    <sheetView zoomScalePageLayoutView="0" workbookViewId="0" topLeftCell="A1">
      <selection activeCell="A1" sqref="A1:I1"/>
    </sheetView>
  </sheetViews>
  <sheetFormatPr defaultColWidth="9.140625" defaultRowHeight="12.75"/>
  <cols>
    <col min="2" max="2" width="9.140625" style="212" customWidth="1"/>
  </cols>
  <sheetData>
    <row r="1" spans="1:17" ht="12.75">
      <c r="A1" s="1465" t="s">
        <v>203</v>
      </c>
      <c r="B1" s="1466"/>
      <c r="C1" s="1466"/>
      <c r="D1" s="1466"/>
      <c r="E1" s="1466"/>
      <c r="F1" s="1466"/>
      <c r="G1" s="1466"/>
      <c r="H1" s="1466"/>
      <c r="I1" s="1467"/>
      <c r="J1" s="1465" t="s">
        <v>236</v>
      </c>
      <c r="K1" s="1466"/>
      <c r="L1" s="1466"/>
      <c r="M1" s="1466"/>
      <c r="N1" s="1466"/>
      <c r="O1" s="1466"/>
      <c r="P1" s="1466"/>
      <c r="Q1" s="1467"/>
    </row>
    <row r="2" spans="1:17" ht="12.75">
      <c r="A2" s="150" t="s">
        <v>218</v>
      </c>
      <c r="B2" s="213"/>
      <c r="C2" s="170"/>
      <c r="D2" s="170"/>
      <c r="E2" s="170"/>
      <c r="F2" s="170"/>
      <c r="G2" s="170"/>
      <c r="H2" s="170"/>
      <c r="I2" s="171"/>
      <c r="J2" s="150" t="s">
        <v>218</v>
      </c>
      <c r="K2" s="170"/>
      <c r="L2" s="170"/>
      <c r="M2" s="170"/>
      <c r="N2" s="170"/>
      <c r="O2" s="170"/>
      <c r="P2" s="170"/>
      <c r="Q2" s="171"/>
    </row>
    <row r="3" spans="1:17" ht="12.75">
      <c r="A3" s="150"/>
      <c r="B3" s="213" t="str">
        <f>IF(OR('Client Info'!B6="",'Client Info'!F6=""),"Please enter DOB for client and/or spouse","")</f>
        <v>Please enter DOB for client and/or spouse</v>
      </c>
      <c r="C3" s="170"/>
      <c r="D3" s="170"/>
      <c r="E3" s="170"/>
      <c r="F3" s="170"/>
      <c r="G3" s="170"/>
      <c r="H3" s="170"/>
      <c r="I3" s="171"/>
      <c r="J3" s="150"/>
      <c r="K3" s="170"/>
      <c r="L3" s="170"/>
      <c r="M3" s="170"/>
      <c r="N3" s="170"/>
      <c r="O3" s="170"/>
      <c r="P3" s="170"/>
      <c r="Q3" s="171"/>
    </row>
    <row r="4" spans="1:17" ht="12.75">
      <c r="A4" s="150"/>
      <c r="B4" s="213" t="str">
        <f>IF(OR('Client Info'!B7="",'Client Info'!F7=""),"Please enter Social Security number for client and/or spouse","")</f>
        <v>Please enter Social Security number for client and/or spouse</v>
      </c>
      <c r="C4" s="170"/>
      <c r="D4" s="170"/>
      <c r="E4" s="170"/>
      <c r="F4" s="170"/>
      <c r="G4" s="170"/>
      <c r="H4" s="170"/>
      <c r="I4" s="171"/>
      <c r="J4" s="150"/>
      <c r="K4" s="170"/>
      <c r="L4" s="170"/>
      <c r="M4" s="170"/>
      <c r="N4" s="170"/>
      <c r="O4" s="170"/>
      <c r="P4" s="170"/>
      <c r="Q4" s="171"/>
    </row>
    <row r="5" spans="1:17" ht="12.75">
      <c r="A5" s="150"/>
      <c r="B5" s="213" t="str">
        <f>IF(OR('Client Info'!B37="",'Client Info'!F37=""),"Please enter salary for client and/or spouse","")</f>
        <v>Please enter salary for client and/or spouse</v>
      </c>
      <c r="C5" s="170"/>
      <c r="D5" s="170"/>
      <c r="E5" s="170"/>
      <c r="F5" s="170"/>
      <c r="G5" s="170"/>
      <c r="H5" s="170"/>
      <c r="I5" s="171"/>
      <c r="J5" s="150"/>
      <c r="K5" s="170"/>
      <c r="L5" s="170"/>
      <c r="M5" s="170"/>
      <c r="N5" s="170"/>
      <c r="O5" s="170"/>
      <c r="P5" s="170"/>
      <c r="Q5" s="171"/>
    </row>
    <row r="6" spans="1:17" ht="12.75">
      <c r="A6" s="150"/>
      <c r="B6" s="213"/>
      <c r="C6" s="170"/>
      <c r="D6" s="170"/>
      <c r="E6" s="170"/>
      <c r="F6" s="170"/>
      <c r="G6" s="170"/>
      <c r="H6" s="170"/>
      <c r="I6" s="171"/>
      <c r="J6" s="150"/>
      <c r="K6" s="170"/>
      <c r="L6" s="170"/>
      <c r="M6" s="170"/>
      <c r="N6" s="170"/>
      <c r="O6" s="170"/>
      <c r="P6" s="170"/>
      <c r="Q6" s="171"/>
    </row>
    <row r="7" spans="1:17" ht="12.75">
      <c r="A7" s="150" t="s">
        <v>204</v>
      </c>
      <c r="B7" s="213"/>
      <c r="C7" s="170"/>
      <c r="D7" s="170"/>
      <c r="E7" s="170"/>
      <c r="F7" s="170"/>
      <c r="G7" s="170"/>
      <c r="H7" s="170"/>
      <c r="I7" s="171"/>
      <c r="J7" s="150" t="s">
        <v>204</v>
      </c>
      <c r="K7" s="170"/>
      <c r="L7" s="170"/>
      <c r="M7" s="170"/>
      <c r="N7" s="170"/>
      <c r="O7" s="170"/>
      <c r="P7" s="170"/>
      <c r="Q7" s="171"/>
    </row>
    <row r="8" spans="1:17" ht="12.75">
      <c r="A8" s="150"/>
      <c r="B8" s="213"/>
      <c r="C8" s="170"/>
      <c r="D8" s="170"/>
      <c r="E8" s="170"/>
      <c r="F8" s="170"/>
      <c r="G8" s="170"/>
      <c r="H8" s="170"/>
      <c r="I8" s="171"/>
      <c r="J8" s="150"/>
      <c r="K8" s="170"/>
      <c r="L8" s="170"/>
      <c r="M8" s="170"/>
      <c r="N8" s="170"/>
      <c r="O8" s="170"/>
      <c r="P8" s="170"/>
      <c r="Q8" s="171"/>
    </row>
    <row r="9" spans="1:17" ht="12.75">
      <c r="A9" s="150"/>
      <c r="B9" s="213"/>
      <c r="C9" s="170"/>
      <c r="D9" s="170"/>
      <c r="E9" s="170"/>
      <c r="F9" s="170"/>
      <c r="G9" s="170"/>
      <c r="H9" s="170"/>
      <c r="I9" s="171"/>
      <c r="J9" s="150"/>
      <c r="K9" s="170"/>
      <c r="L9" s="170"/>
      <c r="M9" s="170"/>
      <c r="N9" s="170"/>
      <c r="O9" s="170"/>
      <c r="P9" s="170"/>
      <c r="Q9" s="171"/>
    </row>
    <row r="10" spans="1:17" ht="12.75">
      <c r="A10" s="150"/>
      <c r="B10" s="213"/>
      <c r="C10" s="170"/>
      <c r="D10" s="170"/>
      <c r="E10" s="170"/>
      <c r="F10" s="170"/>
      <c r="G10" s="170"/>
      <c r="H10" s="170"/>
      <c r="I10" s="171"/>
      <c r="J10" s="150"/>
      <c r="K10" s="170"/>
      <c r="L10" s="170"/>
      <c r="M10" s="170"/>
      <c r="N10" s="170"/>
      <c r="O10" s="170"/>
      <c r="P10" s="170"/>
      <c r="Q10" s="171"/>
    </row>
    <row r="11" spans="1:17" ht="12.75">
      <c r="A11" s="150"/>
      <c r="B11" s="213"/>
      <c r="C11" s="170"/>
      <c r="D11" s="170"/>
      <c r="E11" s="170"/>
      <c r="F11" s="170"/>
      <c r="G11" s="170"/>
      <c r="H11" s="170"/>
      <c r="I11" s="171"/>
      <c r="J11" s="150"/>
      <c r="K11" s="170"/>
      <c r="L11" s="170"/>
      <c r="M11" s="170"/>
      <c r="N11" s="170"/>
      <c r="O11" s="170"/>
      <c r="P11" s="170"/>
      <c r="Q11" s="171"/>
    </row>
    <row r="12" spans="1:17" ht="12.75">
      <c r="A12" s="150" t="s">
        <v>179</v>
      </c>
      <c r="B12" s="213"/>
      <c r="C12" s="170"/>
      <c r="D12" s="170"/>
      <c r="E12" s="170"/>
      <c r="F12" s="170"/>
      <c r="G12" s="170"/>
      <c r="H12" s="170"/>
      <c r="I12" s="171"/>
      <c r="J12" s="150" t="s">
        <v>179</v>
      </c>
      <c r="K12" s="170"/>
      <c r="L12" s="170"/>
      <c r="M12" s="170"/>
      <c r="N12" s="170"/>
      <c r="O12" s="170"/>
      <c r="P12" s="170"/>
      <c r="Q12" s="171"/>
    </row>
    <row r="13" spans="1:17" ht="12.75">
      <c r="A13" s="150"/>
      <c r="B13" s="213"/>
      <c r="C13" s="170"/>
      <c r="D13" s="170"/>
      <c r="E13" s="170"/>
      <c r="F13" s="170"/>
      <c r="G13" s="170"/>
      <c r="H13" s="170"/>
      <c r="I13" s="171"/>
      <c r="J13" s="150"/>
      <c r="K13" s="170"/>
      <c r="L13" s="170"/>
      <c r="M13" s="170"/>
      <c r="N13" s="170"/>
      <c r="O13" s="170"/>
      <c r="P13" s="170"/>
      <c r="Q13" s="171"/>
    </row>
    <row r="14" spans="1:17" ht="12.75">
      <c r="A14" s="150"/>
      <c r="B14" s="213"/>
      <c r="C14" s="170"/>
      <c r="D14" s="170"/>
      <c r="E14" s="170"/>
      <c r="F14" s="170"/>
      <c r="G14" s="170"/>
      <c r="H14" s="170"/>
      <c r="I14" s="171"/>
      <c r="J14" s="150"/>
      <c r="K14" s="170"/>
      <c r="L14" s="170"/>
      <c r="M14" s="170"/>
      <c r="N14" s="170"/>
      <c r="O14" s="170"/>
      <c r="P14" s="170"/>
      <c r="Q14" s="171"/>
    </row>
    <row r="15" spans="1:17" ht="12.75">
      <c r="A15" s="150"/>
      <c r="B15" s="213"/>
      <c r="C15" s="170"/>
      <c r="D15" s="170"/>
      <c r="E15" s="170"/>
      <c r="F15" s="170"/>
      <c r="G15" s="170"/>
      <c r="H15" s="170"/>
      <c r="I15" s="171"/>
      <c r="J15" s="150"/>
      <c r="K15" s="170"/>
      <c r="L15" s="170"/>
      <c r="M15" s="170"/>
      <c r="N15" s="170"/>
      <c r="O15" s="170"/>
      <c r="P15" s="170"/>
      <c r="Q15" s="171"/>
    </row>
    <row r="16" spans="1:17" ht="12.75">
      <c r="A16" s="150"/>
      <c r="B16" s="213"/>
      <c r="C16" s="170"/>
      <c r="D16" s="170"/>
      <c r="E16" s="170"/>
      <c r="F16" s="170"/>
      <c r="G16" s="170"/>
      <c r="H16" s="170"/>
      <c r="I16" s="171"/>
      <c r="J16" s="150"/>
      <c r="K16" s="170"/>
      <c r="L16" s="170"/>
      <c r="M16" s="170"/>
      <c r="N16" s="170"/>
      <c r="O16" s="170"/>
      <c r="P16" s="170"/>
      <c r="Q16" s="171"/>
    </row>
    <row r="17" spans="1:17" ht="12.75">
      <c r="A17" s="150" t="s">
        <v>208</v>
      </c>
      <c r="B17" s="213"/>
      <c r="C17" s="170"/>
      <c r="D17" s="170"/>
      <c r="E17" s="170"/>
      <c r="F17" s="170"/>
      <c r="G17" s="170"/>
      <c r="H17" s="170"/>
      <c r="I17" s="171"/>
      <c r="J17" s="150" t="s">
        <v>208</v>
      </c>
      <c r="K17" s="170"/>
      <c r="L17" s="170"/>
      <c r="M17" s="170"/>
      <c r="N17" s="170"/>
      <c r="O17" s="170"/>
      <c r="P17" s="170"/>
      <c r="Q17" s="171"/>
    </row>
    <row r="18" spans="1:17" ht="12.75">
      <c r="A18" s="150"/>
      <c r="B18" s="213"/>
      <c r="C18" s="170"/>
      <c r="D18" s="170"/>
      <c r="E18" s="170"/>
      <c r="F18" s="170"/>
      <c r="G18" s="170"/>
      <c r="H18" s="170"/>
      <c r="I18" s="171"/>
      <c r="J18" s="150"/>
      <c r="K18" s="170"/>
      <c r="L18" s="170"/>
      <c r="M18" s="170"/>
      <c r="N18" s="170"/>
      <c r="O18" s="170"/>
      <c r="P18" s="170"/>
      <c r="Q18" s="171"/>
    </row>
    <row r="19" spans="1:17" ht="12.75">
      <c r="A19" s="150"/>
      <c r="B19" s="213"/>
      <c r="C19" s="170"/>
      <c r="D19" s="170"/>
      <c r="E19" s="170"/>
      <c r="F19" s="170"/>
      <c r="G19" s="170"/>
      <c r="H19" s="170"/>
      <c r="I19" s="171"/>
      <c r="J19" s="150"/>
      <c r="K19" s="170"/>
      <c r="L19" s="170"/>
      <c r="M19" s="170"/>
      <c r="N19" s="170"/>
      <c r="O19" s="170"/>
      <c r="P19" s="170"/>
      <c r="Q19" s="171"/>
    </row>
    <row r="20" spans="1:17" ht="12.75">
      <c r="A20" s="150"/>
      <c r="B20" s="213"/>
      <c r="C20" s="170"/>
      <c r="D20" s="170"/>
      <c r="E20" s="170"/>
      <c r="F20" s="170"/>
      <c r="G20" s="170"/>
      <c r="H20" s="170"/>
      <c r="I20" s="171"/>
      <c r="J20" s="150"/>
      <c r="K20" s="170"/>
      <c r="L20" s="170"/>
      <c r="M20" s="170"/>
      <c r="N20" s="170"/>
      <c r="O20" s="170"/>
      <c r="P20" s="170"/>
      <c r="Q20" s="171"/>
    </row>
    <row r="21" spans="1:17" ht="12.75">
      <c r="A21" s="150"/>
      <c r="B21" s="213"/>
      <c r="C21" s="170"/>
      <c r="D21" s="170"/>
      <c r="E21" s="170"/>
      <c r="F21" s="170"/>
      <c r="G21" s="170"/>
      <c r="H21" s="170"/>
      <c r="I21" s="171"/>
      <c r="J21" s="150"/>
      <c r="K21" s="170"/>
      <c r="L21" s="170"/>
      <c r="M21" s="170"/>
      <c r="N21" s="170"/>
      <c r="O21" s="170"/>
      <c r="P21" s="170"/>
      <c r="Q21" s="171"/>
    </row>
    <row r="22" spans="1:17" ht="12.75">
      <c r="A22" s="150" t="s">
        <v>205</v>
      </c>
      <c r="B22" s="213"/>
      <c r="C22" s="170"/>
      <c r="D22" s="170"/>
      <c r="E22" s="170"/>
      <c r="F22" s="170"/>
      <c r="G22" s="170"/>
      <c r="H22" s="170"/>
      <c r="I22" s="171"/>
      <c r="J22" s="150" t="s">
        <v>205</v>
      </c>
      <c r="K22" s="170"/>
      <c r="L22" s="170"/>
      <c r="M22" s="170"/>
      <c r="N22" s="170"/>
      <c r="O22" s="170"/>
      <c r="P22" s="170"/>
      <c r="Q22" s="171"/>
    </row>
    <row r="23" spans="1:17" ht="12.75">
      <c r="A23" s="150"/>
      <c r="B23" s="213"/>
      <c r="C23" s="170"/>
      <c r="D23" s="170"/>
      <c r="E23" s="170"/>
      <c r="F23" s="170"/>
      <c r="G23" s="170"/>
      <c r="H23" s="170"/>
      <c r="I23" s="171"/>
      <c r="J23" s="150"/>
      <c r="K23" s="170"/>
      <c r="L23" s="170"/>
      <c r="M23" s="170"/>
      <c r="N23" s="170"/>
      <c r="O23" s="170"/>
      <c r="P23" s="170"/>
      <c r="Q23" s="171"/>
    </row>
    <row r="24" spans="1:17" ht="12.75">
      <c r="A24" s="150"/>
      <c r="B24" s="213">
        <f>IF('Dedicated Exp'!H53&lt;0,"Please reduce number or amount of committed expenses","")</f>
      </c>
      <c r="C24" s="170"/>
      <c r="D24" s="170"/>
      <c r="E24" s="170"/>
      <c r="F24" s="170"/>
      <c r="G24" s="170"/>
      <c r="H24" s="170"/>
      <c r="I24" s="171"/>
      <c r="J24" s="150"/>
      <c r="K24" s="170"/>
      <c r="L24" s="170"/>
      <c r="M24" s="170"/>
      <c r="N24" s="170"/>
      <c r="O24" s="170"/>
      <c r="P24" s="170"/>
      <c r="Q24" s="171"/>
    </row>
    <row r="25" spans="1:17" ht="12.75">
      <c r="A25" s="150"/>
      <c r="B25" s="213"/>
      <c r="C25" s="170"/>
      <c r="D25" s="170"/>
      <c r="E25" s="170"/>
      <c r="F25" s="170"/>
      <c r="G25" s="170"/>
      <c r="H25" s="170"/>
      <c r="I25" s="171"/>
      <c r="J25" s="150"/>
      <c r="K25" s="170"/>
      <c r="L25" s="170"/>
      <c r="M25" s="170"/>
      <c r="N25" s="170"/>
      <c r="O25" s="170"/>
      <c r="P25" s="170"/>
      <c r="Q25" s="171"/>
    </row>
    <row r="26" spans="1:17" ht="12.75">
      <c r="A26" s="150"/>
      <c r="B26" s="213"/>
      <c r="C26" s="170"/>
      <c r="D26" s="170"/>
      <c r="E26" s="170"/>
      <c r="F26" s="170"/>
      <c r="G26" s="170"/>
      <c r="H26" s="170"/>
      <c r="I26" s="171"/>
      <c r="J26" s="150"/>
      <c r="K26" s="170"/>
      <c r="L26" s="170"/>
      <c r="M26" s="170"/>
      <c r="N26" s="170"/>
      <c r="O26" s="170"/>
      <c r="P26" s="170"/>
      <c r="Q26" s="171"/>
    </row>
    <row r="27" spans="1:17" ht="12.75">
      <c r="A27" s="150" t="s">
        <v>206</v>
      </c>
      <c r="B27" s="213"/>
      <c r="C27" s="170"/>
      <c r="D27" s="170"/>
      <c r="E27" s="170"/>
      <c r="F27" s="170"/>
      <c r="G27" s="170"/>
      <c r="H27" s="170"/>
      <c r="I27" s="171"/>
      <c r="J27" s="150" t="s">
        <v>206</v>
      </c>
      <c r="K27" s="170"/>
      <c r="L27" s="170"/>
      <c r="M27" s="170"/>
      <c r="N27" s="170"/>
      <c r="O27" s="170"/>
      <c r="P27" s="170"/>
      <c r="Q27" s="171"/>
    </row>
    <row r="28" spans="1:17" ht="12.75">
      <c r="A28" s="150"/>
      <c r="B28" s="213"/>
      <c r="C28" s="170"/>
      <c r="D28" s="170"/>
      <c r="E28" s="170"/>
      <c r="F28" s="170"/>
      <c r="G28" s="170"/>
      <c r="H28" s="170"/>
      <c r="I28" s="171"/>
      <c r="J28" s="150"/>
      <c r="K28" s="170"/>
      <c r="L28" s="170"/>
      <c r="M28" s="170"/>
      <c r="N28" s="170"/>
      <c r="O28" s="170"/>
      <c r="P28" s="170"/>
      <c r="Q28" s="171"/>
    </row>
    <row r="29" spans="1:17" ht="12.75">
      <c r="A29" s="150"/>
      <c r="B29" s="213"/>
      <c r="C29" s="170"/>
      <c r="D29" s="170"/>
      <c r="E29" s="170"/>
      <c r="F29" s="170"/>
      <c r="G29" s="170"/>
      <c r="H29" s="170"/>
      <c r="I29" s="171"/>
      <c r="J29" s="150"/>
      <c r="K29" s="170"/>
      <c r="L29" s="170"/>
      <c r="M29" s="170"/>
      <c r="N29" s="170"/>
      <c r="O29" s="170"/>
      <c r="P29" s="170"/>
      <c r="Q29" s="171"/>
    </row>
    <row r="30" spans="1:17" ht="12.75">
      <c r="A30" s="150"/>
      <c r="B30" s="213"/>
      <c r="C30" s="170"/>
      <c r="D30" s="170"/>
      <c r="E30" s="170"/>
      <c r="F30" s="170"/>
      <c r="G30" s="170"/>
      <c r="H30" s="170"/>
      <c r="I30" s="171"/>
      <c r="J30" s="150"/>
      <c r="K30" s="170"/>
      <c r="L30" s="170"/>
      <c r="M30" s="170"/>
      <c r="N30" s="170"/>
      <c r="O30" s="170"/>
      <c r="P30" s="170"/>
      <c r="Q30" s="171"/>
    </row>
    <row r="31" spans="1:17" ht="12.75">
      <c r="A31" s="150"/>
      <c r="B31" s="213"/>
      <c r="C31" s="170"/>
      <c r="D31" s="170"/>
      <c r="E31" s="170"/>
      <c r="F31" s="170"/>
      <c r="G31" s="170"/>
      <c r="H31" s="170"/>
      <c r="I31" s="171"/>
      <c r="J31" s="150"/>
      <c r="K31" s="170"/>
      <c r="L31" s="170"/>
      <c r="M31" s="170"/>
      <c r="N31" s="170"/>
      <c r="O31" s="170"/>
      <c r="P31" s="170"/>
      <c r="Q31" s="171"/>
    </row>
    <row r="32" spans="1:17" ht="12.75">
      <c r="A32" s="150" t="s">
        <v>207</v>
      </c>
      <c r="B32" s="213"/>
      <c r="C32" s="170"/>
      <c r="D32" s="170"/>
      <c r="E32" s="170"/>
      <c r="F32" s="170"/>
      <c r="G32" s="170"/>
      <c r="H32" s="170"/>
      <c r="I32" s="171"/>
      <c r="J32" s="150" t="s">
        <v>207</v>
      </c>
      <c r="K32" s="170"/>
      <c r="L32" s="170"/>
      <c r="M32" s="170"/>
      <c r="N32" s="170"/>
      <c r="O32" s="170"/>
      <c r="P32" s="170"/>
      <c r="Q32" s="171"/>
    </row>
    <row r="33" spans="1:17" ht="12.75">
      <c r="A33" s="150"/>
      <c r="B33" s="213"/>
      <c r="C33" s="170"/>
      <c r="D33" s="170"/>
      <c r="E33" s="170"/>
      <c r="F33" s="170"/>
      <c r="G33" s="170"/>
      <c r="H33" s="170"/>
      <c r="I33" s="171"/>
      <c r="J33" s="150"/>
      <c r="K33" s="170"/>
      <c r="L33" s="170"/>
      <c r="M33" s="170"/>
      <c r="N33" s="170"/>
      <c r="O33" s="170"/>
      <c r="P33" s="170"/>
      <c r="Q33" s="171"/>
    </row>
    <row r="34" spans="1:17" ht="12.75">
      <c r="A34" s="150"/>
      <c r="B34" s="213"/>
      <c r="C34" s="170"/>
      <c r="D34" s="170"/>
      <c r="E34" s="170"/>
      <c r="F34" s="170"/>
      <c r="G34" s="170"/>
      <c r="H34" s="170"/>
      <c r="I34" s="171"/>
      <c r="J34" s="150"/>
      <c r="K34" s="170"/>
      <c r="L34" s="170"/>
      <c r="M34" s="170"/>
      <c r="N34" s="170"/>
      <c r="O34" s="170"/>
      <c r="P34" s="170"/>
      <c r="Q34" s="171"/>
    </row>
    <row r="35" spans="1:17" ht="12.75">
      <c r="A35" s="150"/>
      <c r="B35" s="213"/>
      <c r="C35" s="170"/>
      <c r="D35" s="170"/>
      <c r="E35" s="170"/>
      <c r="F35" s="170"/>
      <c r="G35" s="170"/>
      <c r="H35" s="170"/>
      <c r="I35" s="171"/>
      <c r="J35" s="150"/>
      <c r="K35" s="170"/>
      <c r="L35" s="170"/>
      <c r="M35" s="170"/>
      <c r="N35" s="170"/>
      <c r="O35" s="170"/>
      <c r="P35" s="170"/>
      <c r="Q35" s="171"/>
    </row>
    <row r="36" spans="1:17" ht="12.75">
      <c r="A36" s="150"/>
      <c r="B36" s="213"/>
      <c r="C36" s="170"/>
      <c r="D36" s="170"/>
      <c r="E36" s="170"/>
      <c r="F36" s="170"/>
      <c r="G36" s="170"/>
      <c r="H36" s="170"/>
      <c r="I36" s="171"/>
      <c r="J36" s="150"/>
      <c r="K36" s="170"/>
      <c r="L36" s="170"/>
      <c r="M36" s="170"/>
      <c r="N36" s="170"/>
      <c r="O36" s="170"/>
      <c r="P36" s="170"/>
      <c r="Q36" s="171"/>
    </row>
    <row r="37" spans="1:17" ht="12.75">
      <c r="A37" s="150" t="s">
        <v>209</v>
      </c>
      <c r="B37" s="213"/>
      <c r="C37" s="170"/>
      <c r="D37" s="170"/>
      <c r="E37" s="170"/>
      <c r="F37" s="170"/>
      <c r="G37" s="170"/>
      <c r="H37" s="170"/>
      <c r="I37" s="171"/>
      <c r="J37" s="150" t="s">
        <v>209</v>
      </c>
      <c r="K37" s="170"/>
      <c r="L37" s="170"/>
      <c r="M37" s="170"/>
      <c r="N37" s="170"/>
      <c r="O37" s="170"/>
      <c r="P37" s="170"/>
      <c r="Q37" s="171"/>
    </row>
    <row r="38" spans="1:17" ht="12.75">
      <c r="A38" s="150"/>
      <c r="B38" s="213"/>
      <c r="C38" s="170"/>
      <c r="D38" s="170"/>
      <c r="E38" s="170"/>
      <c r="F38" s="170"/>
      <c r="G38" s="170"/>
      <c r="H38" s="170"/>
      <c r="I38" s="171"/>
      <c r="J38" s="150"/>
      <c r="K38" s="170"/>
      <c r="L38" s="170"/>
      <c r="M38" s="170"/>
      <c r="N38" s="170"/>
      <c r="O38" s="170"/>
      <c r="P38" s="170"/>
      <c r="Q38" s="171"/>
    </row>
    <row r="39" spans="1:17" ht="12.75">
      <c r="A39" s="150"/>
      <c r="B39" s="213"/>
      <c r="C39" s="170"/>
      <c r="D39" s="170"/>
      <c r="E39" s="170"/>
      <c r="F39" s="170"/>
      <c r="G39" s="170"/>
      <c r="H39" s="170"/>
      <c r="I39" s="171"/>
      <c r="J39" s="150"/>
      <c r="K39" s="170"/>
      <c r="L39" s="170"/>
      <c r="M39" s="170"/>
      <c r="N39" s="170"/>
      <c r="O39" s="170"/>
      <c r="P39" s="170"/>
      <c r="Q39" s="171"/>
    </row>
    <row r="40" spans="1:17" ht="12.75">
      <c r="A40" s="150"/>
      <c r="B40" s="213"/>
      <c r="C40" s="170"/>
      <c r="D40" s="170"/>
      <c r="E40" s="170"/>
      <c r="F40" s="170"/>
      <c r="G40" s="170"/>
      <c r="H40" s="170"/>
      <c r="I40" s="171"/>
      <c r="J40" s="150"/>
      <c r="K40" s="170"/>
      <c r="L40" s="170"/>
      <c r="M40" s="170"/>
      <c r="N40" s="170"/>
      <c r="O40" s="170"/>
      <c r="P40" s="170"/>
      <c r="Q40" s="171"/>
    </row>
    <row r="41" spans="1:17" ht="12.75">
      <c r="A41" s="150"/>
      <c r="B41" s="213"/>
      <c r="C41" s="170"/>
      <c r="D41" s="170"/>
      <c r="E41" s="170"/>
      <c r="F41" s="170"/>
      <c r="G41" s="170"/>
      <c r="H41" s="170"/>
      <c r="I41" s="171"/>
      <c r="J41" s="150"/>
      <c r="K41" s="170"/>
      <c r="L41" s="170"/>
      <c r="M41" s="170"/>
      <c r="N41" s="170"/>
      <c r="O41" s="170"/>
      <c r="P41" s="170"/>
      <c r="Q41" s="171"/>
    </row>
    <row r="42" spans="1:17" ht="12.75">
      <c r="A42" s="150" t="s">
        <v>210</v>
      </c>
      <c r="B42" s="213"/>
      <c r="C42" s="170"/>
      <c r="D42" s="170"/>
      <c r="E42" s="170"/>
      <c r="F42" s="170"/>
      <c r="G42" s="170"/>
      <c r="H42" s="170"/>
      <c r="I42" s="171"/>
      <c r="J42" s="150" t="s">
        <v>210</v>
      </c>
      <c r="K42" s="170"/>
      <c r="L42" s="170"/>
      <c r="M42" s="170"/>
      <c r="N42" s="170"/>
      <c r="O42" s="170"/>
      <c r="P42" s="170"/>
      <c r="Q42" s="171"/>
    </row>
    <row r="43" spans="1:17" ht="12.75">
      <c r="A43" s="150"/>
      <c r="B43" s="213"/>
      <c r="C43" s="170"/>
      <c r="D43" s="170"/>
      <c r="E43" s="170"/>
      <c r="F43" s="170"/>
      <c r="G43" s="170"/>
      <c r="H43" s="170"/>
      <c r="I43" s="171"/>
      <c r="J43" s="150"/>
      <c r="K43" s="170"/>
      <c r="L43" s="170"/>
      <c r="M43" s="170"/>
      <c r="N43" s="170"/>
      <c r="O43" s="170"/>
      <c r="P43" s="170"/>
      <c r="Q43" s="171"/>
    </row>
    <row r="44" spans="1:17" ht="12.75">
      <c r="A44" s="150"/>
      <c r="B44" s="213"/>
      <c r="C44" s="170"/>
      <c r="D44" s="170"/>
      <c r="E44" s="170"/>
      <c r="F44" s="170"/>
      <c r="G44" s="170"/>
      <c r="H44" s="170"/>
      <c r="I44" s="171"/>
      <c r="J44" s="150"/>
      <c r="K44" s="170"/>
      <c r="L44" s="170"/>
      <c r="M44" s="170"/>
      <c r="N44" s="170"/>
      <c r="O44" s="170"/>
      <c r="P44" s="170"/>
      <c r="Q44" s="171"/>
    </row>
    <row r="45" spans="1:17" ht="12.75">
      <c r="A45" s="150"/>
      <c r="B45" s="213"/>
      <c r="C45" s="170"/>
      <c r="D45" s="170"/>
      <c r="E45" s="170"/>
      <c r="F45" s="170"/>
      <c r="G45" s="170"/>
      <c r="H45" s="170"/>
      <c r="I45" s="171"/>
      <c r="J45" s="150"/>
      <c r="K45" s="170"/>
      <c r="L45" s="170"/>
      <c r="M45" s="170"/>
      <c r="N45" s="170"/>
      <c r="O45" s="170"/>
      <c r="P45" s="170"/>
      <c r="Q45" s="171"/>
    </row>
    <row r="46" spans="1:17" ht="12.75">
      <c r="A46" s="150"/>
      <c r="B46" s="213"/>
      <c r="C46" s="170"/>
      <c r="D46" s="170"/>
      <c r="E46" s="170"/>
      <c r="F46" s="170"/>
      <c r="G46" s="170"/>
      <c r="H46" s="170"/>
      <c r="I46" s="171"/>
      <c r="J46" s="150"/>
      <c r="K46" s="170"/>
      <c r="L46" s="170"/>
      <c r="M46" s="170"/>
      <c r="N46" s="170"/>
      <c r="O46" s="170"/>
      <c r="P46" s="170"/>
      <c r="Q46" s="171"/>
    </row>
    <row r="47" spans="1:17" ht="12.75">
      <c r="A47" s="150" t="s">
        <v>211</v>
      </c>
      <c r="B47" s="213"/>
      <c r="C47" s="170"/>
      <c r="D47" s="170"/>
      <c r="E47" s="170"/>
      <c r="F47" s="170"/>
      <c r="G47" s="170"/>
      <c r="H47" s="170"/>
      <c r="I47" s="171"/>
      <c r="J47" s="150" t="s">
        <v>211</v>
      </c>
      <c r="K47" s="170"/>
      <c r="L47" s="170"/>
      <c r="M47" s="170"/>
      <c r="N47" s="170"/>
      <c r="O47" s="170"/>
      <c r="P47" s="170"/>
      <c r="Q47" s="171"/>
    </row>
    <row r="48" spans="1:17" ht="12.75">
      <c r="A48" s="150"/>
      <c r="B48" s="213">
        <f>IF('Retirement Need Estimator'!D92&gt;250000,"Please review the more than quarter-million dollar shortfall in retirement assets","")</f>
      </c>
      <c r="C48" s="170"/>
      <c r="D48" s="170"/>
      <c r="E48" s="170"/>
      <c r="F48" s="170"/>
      <c r="G48" s="170"/>
      <c r="H48" s="170"/>
      <c r="I48" s="171"/>
      <c r="J48" s="150" t="s">
        <v>237</v>
      </c>
      <c r="K48" s="170" t="s">
        <v>238</v>
      </c>
      <c r="L48" s="170"/>
      <c r="M48" s="170"/>
      <c r="N48" s="170"/>
      <c r="O48" s="170"/>
      <c r="P48" s="170"/>
      <c r="Q48" s="171"/>
    </row>
    <row r="49" spans="1:17" ht="12.75">
      <c r="A49" s="150"/>
      <c r="B49" s="213"/>
      <c r="C49" s="170"/>
      <c r="D49" s="170"/>
      <c r="E49" s="170"/>
      <c r="F49" s="170"/>
      <c r="G49" s="170"/>
      <c r="H49" s="170"/>
      <c r="I49" s="171"/>
      <c r="J49" s="150"/>
      <c r="K49" s="170" t="s">
        <v>239</v>
      </c>
      <c r="L49" s="170"/>
      <c r="M49" s="170"/>
      <c r="N49" s="170"/>
      <c r="O49" s="170"/>
      <c r="P49" s="170"/>
      <c r="Q49" s="171"/>
    </row>
    <row r="50" spans="1:17" ht="12.75">
      <c r="A50" s="150"/>
      <c r="B50" s="213"/>
      <c r="C50" s="170"/>
      <c r="D50" s="170"/>
      <c r="E50" s="170"/>
      <c r="F50" s="170"/>
      <c r="G50" s="170"/>
      <c r="H50" s="170"/>
      <c r="I50" s="171"/>
      <c r="J50" s="150"/>
      <c r="K50" s="170" t="s">
        <v>240</v>
      </c>
      <c r="L50" s="170"/>
      <c r="M50" s="170"/>
      <c r="N50" s="170"/>
      <c r="O50" s="170"/>
      <c r="P50" s="170"/>
      <c r="Q50" s="171"/>
    </row>
    <row r="51" spans="1:17" ht="12.75">
      <c r="A51" s="150"/>
      <c r="B51" s="213"/>
      <c r="C51" s="170"/>
      <c r="D51" s="170"/>
      <c r="E51" s="170"/>
      <c r="F51" s="170"/>
      <c r="G51" s="170"/>
      <c r="H51" s="170"/>
      <c r="I51" s="171"/>
      <c r="J51" s="150"/>
      <c r="K51" s="172" t="s">
        <v>241</v>
      </c>
      <c r="L51" s="170"/>
      <c r="M51" s="170"/>
      <c r="N51" s="170"/>
      <c r="O51" s="170"/>
      <c r="P51" s="170"/>
      <c r="Q51" s="171"/>
    </row>
    <row r="52" spans="1:17" ht="12.75">
      <c r="A52" s="150" t="s">
        <v>212</v>
      </c>
      <c r="B52" s="213"/>
      <c r="C52" s="170"/>
      <c r="D52" s="170"/>
      <c r="E52" s="170"/>
      <c r="F52" s="170"/>
      <c r="G52" s="170"/>
      <c r="H52" s="170"/>
      <c r="I52" s="171"/>
      <c r="J52" s="150" t="s">
        <v>212</v>
      </c>
      <c r="K52" s="170"/>
      <c r="L52" s="170"/>
      <c r="M52" s="170"/>
      <c r="N52" s="170"/>
      <c r="O52" s="170"/>
      <c r="P52" s="170"/>
      <c r="Q52" s="171"/>
    </row>
    <row r="53" spans="1:17" ht="13.5" thickBot="1">
      <c r="A53" s="163"/>
      <c r="B53" s="214"/>
      <c r="C53" s="173"/>
      <c r="D53" s="173"/>
      <c r="E53" s="173"/>
      <c r="F53" s="173"/>
      <c r="G53" s="173"/>
      <c r="H53" s="173"/>
      <c r="I53" s="174"/>
      <c r="J53" s="163"/>
      <c r="K53" s="173"/>
      <c r="L53" s="173"/>
      <c r="M53" s="173"/>
      <c r="N53" s="173"/>
      <c r="O53" s="173"/>
      <c r="P53" s="173"/>
      <c r="Q53" s="174"/>
    </row>
  </sheetData>
  <sheetProtection/>
  <mergeCells count="2">
    <mergeCell ref="A1:I1"/>
    <mergeCell ref="J1:Q1"/>
  </mergeCells>
  <printOptions horizontalCentered="1"/>
  <pageMargins left="0.75" right="0.75" top="0.75"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21">
    <tabColor indexed="10"/>
  </sheetPr>
  <dimension ref="A1:H88"/>
  <sheetViews>
    <sheetView zoomScalePageLayoutView="0" workbookViewId="0" topLeftCell="A1">
      <selection activeCell="C5" sqref="C5"/>
    </sheetView>
  </sheetViews>
  <sheetFormatPr defaultColWidth="9.140625" defaultRowHeight="12.75"/>
  <cols>
    <col min="1" max="1" width="3.7109375" style="11" customWidth="1"/>
    <col min="2" max="2" width="31.7109375" style="11" customWidth="1"/>
    <col min="3" max="3" width="5.7109375" style="11" customWidth="1"/>
    <col min="4" max="6" width="14.7109375" style="11" customWidth="1"/>
    <col min="7" max="7" width="3.7109375" style="11" customWidth="1"/>
    <col min="8" max="8" width="9.140625" style="11" customWidth="1"/>
    <col min="9" max="12" width="9.140625" style="616" customWidth="1"/>
    <col min="13" max="16384" width="9.140625" style="11" customWidth="1"/>
  </cols>
  <sheetData>
    <row r="1" spans="1:7" ht="13.5" thickBot="1">
      <c r="A1" s="1240" t="s">
        <v>676</v>
      </c>
      <c r="B1" s="1241"/>
      <c r="C1" s="1241"/>
      <c r="D1" s="1241"/>
      <c r="E1" s="1241"/>
      <c r="F1" s="1241"/>
      <c r="G1" s="1242"/>
    </row>
    <row r="2" spans="1:7" ht="12.75">
      <c r="A2" s="348"/>
      <c r="B2" s="503" t="s">
        <v>473</v>
      </c>
      <c r="C2" s="10"/>
      <c r="D2" s="70" t="s">
        <v>219</v>
      </c>
      <c r="E2" s="70" t="s">
        <v>220</v>
      </c>
      <c r="F2" s="10"/>
      <c r="G2" s="348"/>
    </row>
    <row r="3" spans="1:7" ht="12.75">
      <c r="A3" s="349"/>
      <c r="B3" s="1170" t="s">
        <v>163</v>
      </c>
      <c r="C3" s="10"/>
      <c r="D3" s="10">
        <f>'Client Info'!D6</f>
        <v>0</v>
      </c>
      <c r="E3" s="10">
        <f>'Client Info'!H6</f>
        <v>0</v>
      </c>
      <c r="F3" s="10"/>
      <c r="G3" s="349"/>
    </row>
    <row r="4" spans="1:7" ht="12.75">
      <c r="A4" s="349"/>
      <c r="B4" s="1170" t="s">
        <v>471</v>
      </c>
      <c r="C4" s="10"/>
      <c r="D4" s="10">
        <f>'Client Info'!D8</f>
        <v>0</v>
      </c>
      <c r="E4" s="10">
        <f>'Client Info'!H8</f>
        <v>0</v>
      </c>
      <c r="F4" s="10"/>
      <c r="G4" s="349"/>
    </row>
    <row r="5" spans="1:7" ht="12.75">
      <c r="A5" s="349"/>
      <c r="B5" s="1170" t="s">
        <v>472</v>
      </c>
      <c r="C5" s="10"/>
      <c r="D5" s="14">
        <f>'Client Info'!B37</f>
        <v>0</v>
      </c>
      <c r="E5" s="14">
        <f>'Client Info'!F37</f>
        <v>0</v>
      </c>
      <c r="F5" s="10"/>
      <c r="G5" s="349"/>
    </row>
    <row r="6" spans="1:7" ht="13.5" thickBot="1">
      <c r="A6" s="349"/>
      <c r="B6" s="1171"/>
      <c r="C6" s="31"/>
      <c r="D6" s="31"/>
      <c r="E6" s="31"/>
      <c r="F6" s="31"/>
      <c r="G6" s="349"/>
    </row>
    <row r="7" spans="1:7" ht="12.75">
      <c r="A7" s="349"/>
      <c r="B7" s="583" t="s">
        <v>833</v>
      </c>
      <c r="C7" s="68"/>
      <c r="D7" s="933" t="s">
        <v>219</v>
      </c>
      <c r="E7" s="933" t="s">
        <v>220</v>
      </c>
      <c r="F7" s="68"/>
      <c r="G7" s="349"/>
    </row>
    <row r="8" spans="1:7" ht="12.75">
      <c r="A8" s="349"/>
      <c r="B8" s="1170" t="s">
        <v>829</v>
      </c>
      <c r="C8" s="10"/>
      <c r="D8" s="14">
        <f>'Inc Stmt'!F8</f>
        <v>0</v>
      </c>
      <c r="E8" s="14">
        <f>'Inc Stmt'!G8</f>
        <v>0</v>
      </c>
      <c r="F8" s="10"/>
      <c r="G8" s="349"/>
    </row>
    <row r="9" spans="1:7" ht="12.75">
      <c r="A9" s="349"/>
      <c r="B9" s="1170" t="s">
        <v>72</v>
      </c>
      <c r="C9" s="10"/>
      <c r="D9" s="14">
        <f>'Inc Stmt'!F19</f>
        <v>0</v>
      </c>
      <c r="E9" s="14">
        <f>'Inc Stmt'!G19</f>
        <v>0</v>
      </c>
      <c r="F9" s="10"/>
      <c r="G9" s="349"/>
    </row>
    <row r="10" spans="1:7" ht="12.75">
      <c r="A10" s="349"/>
      <c r="B10" s="1170" t="s">
        <v>830</v>
      </c>
      <c r="C10" s="10"/>
      <c r="D10" s="14">
        <f>SUM('Dedicated Exp'!F6:F9)</f>
        <v>0</v>
      </c>
      <c r="E10" s="14">
        <f>SUM('Dedicated Exp'!G6:G9)</f>
        <v>0</v>
      </c>
      <c r="F10" s="10"/>
      <c r="G10" s="349"/>
    </row>
    <row r="11" spans="1:7" ht="12.75">
      <c r="A11" s="349"/>
      <c r="B11" s="1170" t="s">
        <v>831</v>
      </c>
      <c r="C11" s="10"/>
      <c r="D11" s="14">
        <f>'Dedicated Exp'!F10</f>
        <v>0</v>
      </c>
      <c r="E11" s="14">
        <f>'Dedicated Exp'!G10</f>
        <v>0</v>
      </c>
      <c r="F11" s="10"/>
      <c r="G11" s="349"/>
    </row>
    <row r="12" spans="1:7" ht="12.75">
      <c r="A12" s="349"/>
      <c r="B12" s="1170" t="s">
        <v>474</v>
      </c>
      <c r="C12" s="10"/>
      <c r="D12" s="14">
        <f>'Inc Stmt'!F30</f>
        <v>0</v>
      </c>
      <c r="E12" s="14">
        <f>'Inc Stmt'!G30</f>
        <v>0</v>
      </c>
      <c r="F12" s="10"/>
      <c r="G12" s="349"/>
    </row>
    <row r="13" spans="1:7" ht="12.75">
      <c r="A13" s="349"/>
      <c r="B13" s="1170" t="s">
        <v>832</v>
      </c>
      <c r="C13" s="10"/>
      <c r="D13" s="14">
        <f>'Dedicated Exp'!F12</f>
        <v>0</v>
      </c>
      <c r="E13" s="14">
        <f>'Dedicated Exp'!G12</f>
        <v>0</v>
      </c>
      <c r="F13" s="10"/>
      <c r="G13" s="349"/>
    </row>
    <row r="14" spans="1:7" ht="13.5" thickBot="1">
      <c r="A14" s="349"/>
      <c r="B14" s="1171"/>
      <c r="C14" s="31"/>
      <c r="D14" s="31"/>
      <c r="E14" s="31"/>
      <c r="F14" s="31"/>
      <c r="G14" s="349"/>
    </row>
    <row r="15" spans="1:7" ht="12.75">
      <c r="A15" s="349"/>
      <c r="B15" s="583" t="s">
        <v>475</v>
      </c>
      <c r="C15" s="68"/>
      <c r="D15" s="933" t="s">
        <v>219</v>
      </c>
      <c r="E15" s="933" t="s">
        <v>220</v>
      </c>
      <c r="F15" s="68"/>
      <c r="G15" s="349"/>
    </row>
    <row r="16" spans="1:7" ht="12.75">
      <c r="A16" s="349"/>
      <c r="B16" s="1170" t="s">
        <v>834</v>
      </c>
      <c r="C16" s="10"/>
      <c r="D16" s="14">
        <f>'Dedicated Exp'!G20</f>
        <v>0</v>
      </c>
      <c r="E16" s="1172" t="s">
        <v>100</v>
      </c>
      <c r="F16" s="10"/>
      <c r="G16" s="349"/>
    </row>
    <row r="17" spans="1:7" ht="12.75">
      <c r="A17" s="349"/>
      <c r="B17" s="1170" t="s">
        <v>507</v>
      </c>
      <c r="C17" s="10"/>
      <c r="D17" s="14">
        <f>SUM('Dedicated Exp'!F23:F30)</f>
        <v>0</v>
      </c>
      <c r="E17" s="14">
        <f>SUM('Dedicated Exp'!G23:G30)</f>
        <v>0</v>
      </c>
      <c r="F17" s="10"/>
      <c r="G17" s="349"/>
    </row>
    <row r="18" spans="1:7" ht="12.75">
      <c r="A18" s="349"/>
      <c r="B18" s="1170" t="s">
        <v>476</v>
      </c>
      <c r="C18" s="10"/>
      <c r="D18" s="14">
        <f>SUM('Dedicated Exp'!F33:F39)</f>
        <v>0</v>
      </c>
      <c r="E18" s="14">
        <f>SUM('Dedicated Exp'!G33:G39)</f>
        <v>0</v>
      </c>
      <c r="F18" s="10"/>
      <c r="G18" s="349"/>
    </row>
    <row r="19" spans="1:7" ht="12.75">
      <c r="A19" s="349"/>
      <c r="B19" s="1170" t="s">
        <v>477</v>
      </c>
      <c r="C19" s="10"/>
      <c r="D19" s="14">
        <f>'Dedicated Exp'!H51</f>
        <v>0</v>
      </c>
      <c r="E19" s="1172" t="s">
        <v>100</v>
      </c>
      <c r="F19" s="10"/>
      <c r="G19" s="349"/>
    </row>
    <row r="20" spans="1:7" ht="12.75">
      <c r="A20" s="349"/>
      <c r="B20" s="1170" t="s">
        <v>278</v>
      </c>
      <c r="C20" s="10"/>
      <c r="D20" s="14">
        <f>'Dedicated Exp'!H52</f>
        <v>0</v>
      </c>
      <c r="E20" s="1172" t="s">
        <v>100</v>
      </c>
      <c r="F20" s="10"/>
      <c r="G20" s="349"/>
    </row>
    <row r="21" spans="1:7" ht="13.5" thickBot="1">
      <c r="A21" s="349"/>
      <c r="B21" s="1171"/>
      <c r="C21" s="31"/>
      <c r="D21" s="31"/>
      <c r="E21" s="31"/>
      <c r="F21" s="31"/>
      <c r="G21" s="349"/>
    </row>
    <row r="22" spans="1:7" ht="12.75">
      <c r="A22" s="349"/>
      <c r="B22" s="583" t="s">
        <v>479</v>
      </c>
      <c r="C22" s="68"/>
      <c r="D22" s="933" t="s">
        <v>219</v>
      </c>
      <c r="E22" s="933" t="s">
        <v>220</v>
      </c>
      <c r="F22" s="68"/>
      <c r="G22" s="349"/>
    </row>
    <row r="23" spans="1:7" ht="12.75">
      <c r="A23" s="349"/>
      <c r="B23" s="1170" t="s">
        <v>478</v>
      </c>
      <c r="C23" s="10"/>
      <c r="D23" s="14">
        <f>'Discretionary Exp'!G71</f>
        <v>0</v>
      </c>
      <c r="E23" s="1172" t="s">
        <v>100</v>
      </c>
      <c r="F23" s="10"/>
      <c r="G23" s="349"/>
    </row>
    <row r="24" spans="1:7" ht="13.5" thickBot="1">
      <c r="A24" s="349"/>
      <c r="B24" s="1171"/>
      <c r="C24" s="31"/>
      <c r="D24" s="31"/>
      <c r="E24" s="31"/>
      <c r="F24" s="31"/>
      <c r="G24" s="349"/>
    </row>
    <row r="25" spans="1:7" ht="12.75">
      <c r="A25" s="349"/>
      <c r="B25" s="583" t="s">
        <v>179</v>
      </c>
      <c r="C25" s="68"/>
      <c r="D25" s="933" t="s">
        <v>92</v>
      </c>
      <c r="E25" s="68"/>
      <c r="F25" s="68"/>
      <c r="G25" s="349"/>
    </row>
    <row r="26" spans="1:7" ht="12.75">
      <c r="A26" s="349"/>
      <c r="B26" s="1173" t="s">
        <v>149</v>
      </c>
      <c r="C26" s="10"/>
      <c r="D26" s="14">
        <f>'Bal Sheet'!G119</f>
        <v>0</v>
      </c>
      <c r="E26" s="14"/>
      <c r="F26" s="10"/>
      <c r="G26" s="349"/>
    </row>
    <row r="27" spans="1:7" ht="12.75">
      <c r="A27" s="349"/>
      <c r="B27" s="1173" t="s">
        <v>480</v>
      </c>
      <c r="C27" s="10"/>
      <c r="D27" s="14">
        <f>'Bal Sheet'!G124</f>
        <v>0</v>
      </c>
      <c r="E27" s="14"/>
      <c r="F27" s="10"/>
      <c r="G27" s="349"/>
    </row>
    <row r="28" spans="1:7" ht="12.75">
      <c r="A28" s="349"/>
      <c r="B28" s="1173" t="s">
        <v>481</v>
      </c>
      <c r="C28" s="10"/>
      <c r="D28" s="14">
        <f>'Bal Sheet'!G126</f>
        <v>0</v>
      </c>
      <c r="E28" s="14"/>
      <c r="F28" s="10"/>
      <c r="G28" s="349"/>
    </row>
    <row r="29" spans="1:7" ht="13.5" thickBot="1">
      <c r="A29" s="349"/>
      <c r="B29" s="1171"/>
      <c r="C29" s="31"/>
      <c r="D29" s="31"/>
      <c r="E29" s="31"/>
      <c r="F29" s="31"/>
      <c r="G29" s="349"/>
    </row>
    <row r="30" spans="1:7" ht="12.75">
      <c r="A30" s="349"/>
      <c r="B30" s="1174" t="s">
        <v>482</v>
      </c>
      <c r="C30" s="68"/>
      <c r="D30" s="933" t="s">
        <v>92</v>
      </c>
      <c r="E30" s="68"/>
      <c r="F30" s="68"/>
      <c r="G30" s="349"/>
    </row>
    <row r="31" spans="1:7" ht="12.75">
      <c r="A31" s="349"/>
      <c r="B31" s="1173" t="s">
        <v>75</v>
      </c>
      <c r="C31" s="10"/>
      <c r="D31" s="57">
        <f>'Inc Tax Estimator'!D8</f>
      </c>
      <c r="E31" s="10"/>
      <c r="F31" s="10"/>
      <c r="G31" s="349"/>
    </row>
    <row r="32" spans="1:7" ht="12.75">
      <c r="A32" s="349"/>
      <c r="B32" s="1173" t="s">
        <v>78</v>
      </c>
      <c r="C32" s="10"/>
      <c r="D32" s="14">
        <f>MAX('Inc Tax Estimator'!E15,'Inc Tax Estimator'!D15)</f>
        <v>0</v>
      </c>
      <c r="E32" s="14"/>
      <c r="F32" s="10"/>
      <c r="G32" s="349"/>
    </row>
    <row r="33" spans="1:7" ht="12.75">
      <c r="A33" s="349"/>
      <c r="B33" s="1173" t="s">
        <v>86</v>
      </c>
      <c r="C33" s="10"/>
      <c r="D33" s="1175">
        <f>'Inc Tax Estimator'!E17</f>
        <v>0</v>
      </c>
      <c r="E33" s="10"/>
      <c r="F33" s="10"/>
      <c r="G33" s="349"/>
    </row>
    <row r="34" spans="1:7" ht="12.75">
      <c r="A34" s="349"/>
      <c r="B34" s="1173" t="s">
        <v>835</v>
      </c>
      <c r="C34" s="10"/>
      <c r="D34" s="14">
        <f>'Inc Tax Estimator'!E24</f>
        <v>0</v>
      </c>
      <c r="E34" s="14"/>
      <c r="F34" s="10"/>
      <c r="G34" s="349"/>
    </row>
    <row r="35" spans="1:7" ht="12.75">
      <c r="A35" s="349"/>
      <c r="B35" s="1173" t="s">
        <v>836</v>
      </c>
      <c r="C35" s="10"/>
      <c r="D35" s="14">
        <f>'Inc Tax Estimator'!E51</f>
      </c>
      <c r="E35" s="14"/>
      <c r="F35" s="10"/>
      <c r="G35" s="349"/>
    </row>
    <row r="36" spans="1:7" ht="12.75">
      <c r="A36" s="349"/>
      <c r="B36" s="1173" t="s">
        <v>483</v>
      </c>
      <c r="C36" s="10"/>
      <c r="D36" s="14">
        <f>'Inc Tax Estimator'!G33</f>
        <v>0</v>
      </c>
      <c r="E36" s="14"/>
      <c r="F36" s="10"/>
      <c r="G36" s="349"/>
    </row>
    <row r="37" spans="1:7" ht="13.5" thickBot="1">
      <c r="A37" s="349"/>
      <c r="B37" s="1171"/>
      <c r="C37" s="31"/>
      <c r="D37" s="31"/>
      <c r="E37" s="31"/>
      <c r="F37" s="31"/>
      <c r="G37" s="349"/>
    </row>
    <row r="38" spans="1:7" ht="12.75">
      <c r="A38" s="349"/>
      <c r="B38" s="583" t="s">
        <v>484</v>
      </c>
      <c r="C38" s="68"/>
      <c r="D38" s="933" t="s">
        <v>486</v>
      </c>
      <c r="E38" s="933" t="s">
        <v>487</v>
      </c>
      <c r="F38" s="933" t="s">
        <v>488</v>
      </c>
      <c r="G38" s="349"/>
    </row>
    <row r="39" spans="1:7" ht="12.75">
      <c r="A39" s="349"/>
      <c r="B39" s="1170" t="s">
        <v>527</v>
      </c>
      <c r="C39" s="10"/>
      <c r="D39" s="14">
        <f>'Education Cost Estimator'!D3</f>
        <v>0</v>
      </c>
      <c r="E39" s="14">
        <f>'Education Cost Estimator'!D19</f>
        <v>0</v>
      </c>
      <c r="F39" s="14">
        <f>'Education Cost Estimator'!D35</f>
        <v>0</v>
      </c>
      <c r="G39" s="349"/>
    </row>
    <row r="40" spans="1:7" ht="12.75">
      <c r="A40" s="349"/>
      <c r="B40" s="1170" t="s">
        <v>131</v>
      </c>
      <c r="C40" s="10"/>
      <c r="D40" s="72">
        <f>'Education Cost Estimator'!G3</f>
        <v>0</v>
      </c>
      <c r="E40" s="72">
        <f>'Education Cost Estimator'!G19</f>
        <v>0</v>
      </c>
      <c r="F40" s="72">
        <f>'Education Cost Estimator'!G35</f>
        <v>0</v>
      </c>
      <c r="G40" s="349"/>
    </row>
    <row r="41" spans="1:7" ht="12.75">
      <c r="A41" s="349"/>
      <c r="B41" s="1170" t="s">
        <v>485</v>
      </c>
      <c r="C41" s="10"/>
      <c r="D41" s="72">
        <f>'Education Cost Estimator'!D9</f>
        <v>0</v>
      </c>
      <c r="E41" s="72">
        <f>'Education Cost Estimator'!D25</f>
        <v>0</v>
      </c>
      <c r="F41" s="72">
        <f>'Education Cost Estimator'!D41</f>
        <v>0</v>
      </c>
      <c r="G41" s="349"/>
    </row>
    <row r="42" spans="1:7" ht="12.75">
      <c r="A42" s="349"/>
      <c r="B42" s="1170" t="s">
        <v>515</v>
      </c>
      <c r="C42" s="10"/>
      <c r="D42" s="1176">
        <f>'Education Cost Estimator'!D5</f>
        <v>0</v>
      </c>
      <c r="E42" s="1176">
        <f>'Education Cost Estimator'!D21</f>
        <v>0</v>
      </c>
      <c r="F42" s="1176">
        <f>'Education Cost Estimator'!D37</f>
        <v>0</v>
      </c>
      <c r="G42" s="349"/>
    </row>
    <row r="43" spans="1:7" ht="12.75">
      <c r="A43" s="349"/>
      <c r="B43" s="1170" t="s">
        <v>525</v>
      </c>
      <c r="C43" s="10"/>
      <c r="D43" s="1177"/>
      <c r="E43" s="57"/>
      <c r="F43" s="1177"/>
      <c r="G43" s="349"/>
    </row>
    <row r="44" spans="1:7" ht="12.75">
      <c r="A44" s="349"/>
      <c r="B44" s="1170" t="s">
        <v>524</v>
      </c>
      <c r="C44" s="10"/>
      <c r="D44" s="1178">
        <f>'Education Cost Estimator'!E10</f>
        <v>0</v>
      </c>
      <c r="E44" s="1177">
        <f>'Education Cost Estimator'!E26</f>
        <v>0</v>
      </c>
      <c r="F44" s="1178">
        <f>'Education Cost Estimator'!J42</f>
        <v>0</v>
      </c>
      <c r="G44" s="349"/>
    </row>
    <row r="45" spans="1:7" ht="12.75">
      <c r="A45" s="349"/>
      <c r="B45" s="1170" t="s">
        <v>528</v>
      </c>
      <c r="C45" s="10"/>
      <c r="D45" s="14">
        <f>'Education Cost Estimator'!E6</f>
      </c>
      <c r="E45" s="14">
        <f>'Education Cost Estimator'!E22</f>
      </c>
      <c r="F45" s="14">
        <f>'Education Cost Estimator'!J38</f>
      </c>
      <c r="G45" s="349"/>
    </row>
    <row r="46" spans="1:7" ht="12.75">
      <c r="A46" s="349"/>
      <c r="B46" s="1170" t="s">
        <v>526</v>
      </c>
      <c r="C46" s="10"/>
      <c r="D46" s="14">
        <f>'Education Cost Estimator'!G14</f>
        <v>0</v>
      </c>
      <c r="E46" s="14">
        <f>'Education Cost Estimator'!G30</f>
        <v>0</v>
      </c>
      <c r="F46" s="14">
        <f>'Education Cost Estimator'!G46</f>
        <v>0</v>
      </c>
      <c r="G46" s="349"/>
    </row>
    <row r="47" spans="1:7" ht="12.75">
      <c r="A47" s="349"/>
      <c r="B47" s="1179" t="s">
        <v>529</v>
      </c>
      <c r="C47" s="10"/>
      <c r="D47" s="1180">
        <f>'Education Cost Estimator'!G16</f>
      </c>
      <c r="E47" s="1180">
        <f>'Education Cost Estimator'!G32</f>
      </c>
      <c r="F47" s="1181">
        <f>'Education Cost Estimator'!G48</f>
      </c>
      <c r="G47" s="349"/>
    </row>
    <row r="48" spans="1:8" ht="13.5" thickBot="1">
      <c r="A48" s="246"/>
      <c r="B48" s="1182"/>
      <c r="C48" s="31"/>
      <c r="D48" s="31"/>
      <c r="E48" s="31"/>
      <c r="F48" s="31"/>
      <c r="G48" s="246"/>
      <c r="H48" s="10"/>
    </row>
    <row r="49" spans="1:8" ht="12.75">
      <c r="A49" s="10"/>
      <c r="B49" s="1179"/>
      <c r="C49" s="10"/>
      <c r="D49" s="10"/>
      <c r="E49" s="10"/>
      <c r="F49" s="10"/>
      <c r="G49" s="10"/>
      <c r="H49" s="10"/>
    </row>
    <row r="50" spans="1:8" ht="12.75">
      <c r="A50" s="10"/>
      <c r="B50" s="1179"/>
      <c r="C50" s="10"/>
      <c r="D50" s="10"/>
      <c r="E50" s="10"/>
      <c r="F50" s="10"/>
      <c r="G50" s="10"/>
      <c r="H50" s="10"/>
    </row>
    <row r="51" spans="1:8" ht="13.5" thickBot="1">
      <c r="A51" s="10"/>
      <c r="B51" s="1179"/>
      <c r="C51" s="10"/>
      <c r="D51" s="10"/>
      <c r="E51" s="10"/>
      <c r="F51" s="10"/>
      <c r="G51" s="10"/>
      <c r="H51" s="10"/>
    </row>
    <row r="52" spans="1:7" ht="12.75">
      <c r="A52" s="348"/>
      <c r="B52" s="583" t="s">
        <v>489</v>
      </c>
      <c r="C52" s="68"/>
      <c r="D52" s="933" t="s">
        <v>219</v>
      </c>
      <c r="E52" s="933" t="s">
        <v>220</v>
      </c>
      <c r="F52" s="68"/>
      <c r="G52" s="348"/>
    </row>
    <row r="53" spans="1:7" ht="12.75">
      <c r="A53" s="349"/>
      <c r="B53" s="1170" t="s">
        <v>362</v>
      </c>
      <c r="C53" s="10"/>
      <c r="D53" s="14">
        <f>'Life Ins Estimator'!E15</f>
        <v>0</v>
      </c>
      <c r="E53" s="14">
        <f>'Life Ins Estimator'!H15</f>
        <v>0</v>
      </c>
      <c r="F53" s="10"/>
      <c r="G53" s="349"/>
    </row>
    <row r="54" spans="1:7" ht="12.75">
      <c r="A54" s="349"/>
      <c r="B54" s="1170" t="s">
        <v>490</v>
      </c>
      <c r="C54" s="10"/>
      <c r="D54" s="14">
        <f>'Life Ins Estimator'!E22</f>
        <v>0</v>
      </c>
      <c r="E54" s="14">
        <f>'Life Ins Estimator'!H22</f>
        <v>0</v>
      </c>
      <c r="F54" s="10"/>
      <c r="G54" s="349"/>
    </row>
    <row r="55" spans="1:7" ht="12.75">
      <c r="A55" s="349"/>
      <c r="B55" s="1170" t="s">
        <v>491</v>
      </c>
      <c r="C55" s="10"/>
      <c r="D55" s="14">
        <f>'Life Ins Estimator'!E28</f>
        <v>0</v>
      </c>
      <c r="E55" s="14">
        <f>'Life Ins Estimator'!H28</f>
        <v>0</v>
      </c>
      <c r="F55" s="10"/>
      <c r="G55" s="349"/>
    </row>
    <row r="56" spans="1:7" ht="12.75">
      <c r="A56" s="349"/>
      <c r="B56" s="1170" t="s">
        <v>492</v>
      </c>
      <c r="C56" s="10"/>
      <c r="D56" s="14">
        <f>'Life Ins Estimator'!E52</f>
        <v>0</v>
      </c>
      <c r="E56" s="14">
        <f>'Life Ins Estimator'!H52</f>
        <v>0</v>
      </c>
      <c r="F56" s="10"/>
      <c r="G56" s="349"/>
    </row>
    <row r="57" spans="1:7" ht="12.75">
      <c r="A57" s="349"/>
      <c r="B57" s="1170" t="s">
        <v>493</v>
      </c>
      <c r="C57" s="10"/>
      <c r="D57" s="14">
        <f>'Life Ins Estimator'!E65+'Life Ins Estimator'!E84+'Life Ins Estimator'!E94</f>
        <v>0</v>
      </c>
      <c r="E57" s="14">
        <f>'Life Ins Estimator'!H65+'Life Ins Estimator'!H84+'Life Ins Estimator'!H94</f>
        <v>0</v>
      </c>
      <c r="F57" s="10"/>
      <c r="G57" s="349"/>
    </row>
    <row r="58" spans="1:7" ht="13.5" thickBot="1">
      <c r="A58" s="349"/>
      <c r="B58" s="1171" t="s">
        <v>71</v>
      </c>
      <c r="C58" s="31"/>
      <c r="D58" s="444">
        <f>'Life Ins Estimator'!E97</f>
        <v>0</v>
      </c>
      <c r="E58" s="444">
        <f>'Life Ins Estimator'!H97</f>
        <v>0</v>
      </c>
      <c r="F58" s="31"/>
      <c r="G58" s="349"/>
    </row>
    <row r="59" spans="1:7" ht="12.75">
      <c r="A59" s="349"/>
      <c r="B59" s="1174" t="s">
        <v>494</v>
      </c>
      <c r="C59" s="68"/>
      <c r="D59" s="933" t="s">
        <v>219</v>
      </c>
      <c r="E59" s="933" t="s">
        <v>220</v>
      </c>
      <c r="F59" s="68"/>
      <c r="G59" s="349"/>
    </row>
    <row r="60" spans="1:7" ht="12.75">
      <c r="A60" s="349"/>
      <c r="B60" s="1173" t="s">
        <v>130</v>
      </c>
      <c r="C60" s="10"/>
      <c r="D60" s="72">
        <f>'Life Ins Estimator'!E112</f>
        <v>0</v>
      </c>
      <c r="E60" s="72">
        <f>'Life Ins Estimator'!H112</f>
        <v>0</v>
      </c>
      <c r="F60" s="10"/>
      <c r="G60" s="349"/>
    </row>
    <row r="61" spans="1:7" ht="12.75">
      <c r="A61" s="349"/>
      <c r="B61" s="1173" t="s">
        <v>131</v>
      </c>
      <c r="C61" s="10"/>
      <c r="D61" s="72">
        <f>'Life Ins Estimator'!E113</f>
        <v>0</v>
      </c>
      <c r="E61" s="72">
        <f>'Life Ins Estimator'!H113</f>
        <v>0</v>
      </c>
      <c r="F61" s="10"/>
      <c r="G61" s="349"/>
    </row>
    <row r="62" spans="1:7" ht="12.75">
      <c r="A62" s="349"/>
      <c r="B62" s="1173" t="s">
        <v>828</v>
      </c>
      <c r="C62" s="10"/>
      <c r="D62" s="1175">
        <f>'Life Ins Estimator'!E115</f>
        <v>0</v>
      </c>
      <c r="E62" s="1175">
        <f>'Life Ins Estimator'!H115</f>
        <v>0</v>
      </c>
      <c r="F62" s="10"/>
      <c r="G62" s="349"/>
    </row>
    <row r="63" spans="1:7" ht="12.75">
      <c r="A63" s="349"/>
      <c r="B63" s="1173" t="s">
        <v>495</v>
      </c>
      <c r="C63" s="10"/>
      <c r="D63" s="1176">
        <f>'Life Ins Estimator'!E136</f>
        <v>0</v>
      </c>
      <c r="E63" s="1176">
        <f>'Life Ins Estimator'!H136</f>
        <v>0</v>
      </c>
      <c r="F63" s="10"/>
      <c r="G63" s="349"/>
    </row>
    <row r="64" spans="1:7" ht="13.5" thickBot="1">
      <c r="A64" s="349"/>
      <c r="B64" s="1171"/>
      <c r="C64" s="31"/>
      <c r="D64" s="31"/>
      <c r="E64" s="31"/>
      <c r="F64" s="31"/>
      <c r="G64" s="349"/>
    </row>
    <row r="65" spans="1:7" ht="12.75">
      <c r="A65" s="349"/>
      <c r="B65" s="1174" t="s">
        <v>496</v>
      </c>
      <c r="C65" s="68"/>
      <c r="D65" s="933" t="s">
        <v>219</v>
      </c>
      <c r="E65" s="933" t="s">
        <v>220</v>
      </c>
      <c r="F65" s="68"/>
      <c r="G65" s="349"/>
    </row>
    <row r="66" spans="1:7" ht="12.75">
      <c r="A66" s="349"/>
      <c r="B66" s="1173" t="s">
        <v>497</v>
      </c>
      <c r="C66" s="10"/>
      <c r="D66" s="1176">
        <f>'Disability Ins Estimator'!E10</f>
        <v>0</v>
      </c>
      <c r="E66" s="1176">
        <f>'Disability Ins Estimator'!G10</f>
        <v>0</v>
      </c>
      <c r="F66" s="10"/>
      <c r="G66" s="349"/>
    </row>
    <row r="67" spans="1:7" ht="12.75">
      <c r="A67" s="349"/>
      <c r="B67" s="1173" t="s">
        <v>498</v>
      </c>
      <c r="C67" s="10"/>
      <c r="D67" s="1176">
        <f>'Disability Ins Estimator'!E11</f>
        <v>0</v>
      </c>
      <c r="E67" s="1176">
        <f>'Disability Ins Estimator'!G11</f>
        <v>0</v>
      </c>
      <c r="F67" s="10"/>
      <c r="G67" s="349"/>
    </row>
    <row r="68" spans="1:7" ht="12.75">
      <c r="A68" s="349"/>
      <c r="B68" s="1173" t="s">
        <v>499</v>
      </c>
      <c r="C68" s="10"/>
      <c r="D68" s="1176">
        <f>'Disability Ins Estimator'!E14</f>
        <v>0</v>
      </c>
      <c r="E68" s="1176">
        <f>'Disability Ins Estimator'!G14</f>
        <v>0</v>
      </c>
      <c r="F68" s="10"/>
      <c r="G68" s="349"/>
    </row>
    <row r="69" spans="1:7" ht="12.75">
      <c r="A69" s="349"/>
      <c r="B69" s="1173" t="s">
        <v>500</v>
      </c>
      <c r="C69" s="10"/>
      <c r="D69" s="1176">
        <f>'Disability Ins Estimator'!E15</f>
        <v>0</v>
      </c>
      <c r="E69" s="1176">
        <f>'Disability Ins Estimator'!G15</f>
        <v>0</v>
      </c>
      <c r="F69" s="10"/>
      <c r="G69" s="349"/>
    </row>
    <row r="70" spans="1:7" ht="13.5" thickBot="1">
      <c r="A70" s="349"/>
      <c r="B70" s="1183"/>
      <c r="C70" s="31"/>
      <c r="D70" s="31"/>
      <c r="E70" s="31"/>
      <c r="F70" s="31"/>
      <c r="G70" s="349"/>
    </row>
    <row r="71" spans="1:7" ht="12.75">
      <c r="A71" s="349"/>
      <c r="B71" s="1174" t="s">
        <v>501</v>
      </c>
      <c r="C71" s="68"/>
      <c r="D71" s="933" t="s">
        <v>92</v>
      </c>
      <c r="E71" s="68"/>
      <c r="F71" s="68"/>
      <c r="G71" s="349"/>
    </row>
    <row r="72" spans="1:7" ht="12.75">
      <c r="A72" s="349"/>
      <c r="B72" s="1173" t="s">
        <v>502</v>
      </c>
      <c r="C72" s="10"/>
      <c r="D72" s="1176">
        <f>'Retirement Need Estimator'!C5</f>
        <v>0</v>
      </c>
      <c r="E72" s="10"/>
      <c r="F72" s="10"/>
      <c r="G72" s="349"/>
    </row>
    <row r="73" spans="1:7" ht="12.75">
      <c r="A73" s="349"/>
      <c r="B73" s="1173" t="s">
        <v>503</v>
      </c>
      <c r="C73" s="10"/>
      <c r="D73" s="72">
        <f>'Retirement Need Estimator'!F4</f>
        <v>0</v>
      </c>
      <c r="E73" s="10"/>
      <c r="F73" s="10"/>
      <c r="G73" s="349"/>
    </row>
    <row r="74" spans="1:7" ht="12.75">
      <c r="A74" s="349"/>
      <c r="B74" s="1173" t="s">
        <v>837</v>
      </c>
      <c r="C74" s="10"/>
      <c r="D74" s="72">
        <f>'Retirement Need Estimator'!E65</f>
        <v>0</v>
      </c>
      <c r="E74" s="10"/>
      <c r="F74" s="10"/>
      <c r="G74" s="349"/>
    </row>
    <row r="75" spans="1:7" ht="12.75">
      <c r="A75" s="349"/>
      <c r="B75" s="1173" t="s">
        <v>838</v>
      </c>
      <c r="C75" s="10"/>
      <c r="D75" s="72">
        <f>'Retirement Need Estimator'!E66</f>
        <v>0</v>
      </c>
      <c r="E75" s="10"/>
      <c r="F75" s="10"/>
      <c r="G75" s="349"/>
    </row>
    <row r="76" spans="1:7" ht="12.75">
      <c r="A76" s="349"/>
      <c r="B76" s="1173" t="s">
        <v>509</v>
      </c>
      <c r="C76" s="10"/>
      <c r="D76" s="72">
        <f>'Retirement Need Estimator'!G54</f>
        <v>0</v>
      </c>
      <c r="E76" s="10"/>
      <c r="F76" s="10"/>
      <c r="G76" s="349"/>
    </row>
    <row r="77" spans="1:7" ht="12.75">
      <c r="A77" s="349"/>
      <c r="B77" s="1173" t="s">
        <v>511</v>
      </c>
      <c r="C77" s="10"/>
      <c r="D77" s="1176">
        <f>'Retirement Need Estimator'!G57</f>
        <v>0</v>
      </c>
      <c r="E77" s="10"/>
      <c r="F77" s="10"/>
      <c r="G77" s="349"/>
    </row>
    <row r="78" spans="1:7" ht="12.75">
      <c r="A78" s="349"/>
      <c r="B78" s="1173" t="s">
        <v>386</v>
      </c>
      <c r="C78" s="10"/>
      <c r="D78" s="14">
        <f>'Retirement Need Estimator'!C59</f>
        <v>0</v>
      </c>
      <c r="E78" s="10"/>
      <c r="F78" s="10"/>
      <c r="G78" s="349"/>
    </row>
    <row r="79" spans="1:7" ht="12.75">
      <c r="A79" s="349"/>
      <c r="B79" s="1173" t="s">
        <v>504</v>
      </c>
      <c r="C79" s="10"/>
      <c r="D79" s="14">
        <f>'Retirement Need Estimator'!C77</f>
        <v>0</v>
      </c>
      <c r="E79" s="10"/>
      <c r="F79" s="10"/>
      <c r="G79" s="349"/>
    </row>
    <row r="80" spans="1:7" ht="12.75">
      <c r="A80" s="349"/>
      <c r="B80" s="1173" t="s">
        <v>505</v>
      </c>
      <c r="C80" s="10"/>
      <c r="D80" s="14">
        <f>'Retirement Need Estimator'!D82</f>
        <v>0</v>
      </c>
      <c r="E80" s="10"/>
      <c r="F80" s="10"/>
      <c r="G80" s="349"/>
    </row>
    <row r="81" spans="1:7" ht="13.5" thickBot="1">
      <c r="A81" s="349"/>
      <c r="B81" s="1171"/>
      <c r="C81" s="31"/>
      <c r="D81" s="31"/>
      <c r="E81" s="31"/>
      <c r="F81" s="31"/>
      <c r="G81" s="349"/>
    </row>
    <row r="82" spans="1:7" ht="12.75">
      <c r="A82" s="349"/>
      <c r="B82" s="1174" t="s">
        <v>506</v>
      </c>
      <c r="C82" s="68"/>
      <c r="D82" s="933" t="s">
        <v>219</v>
      </c>
      <c r="E82" s="933" t="s">
        <v>220</v>
      </c>
      <c r="F82" s="68"/>
      <c r="G82" s="349"/>
    </row>
    <row r="83" spans="1:7" ht="12.75">
      <c r="A83" s="349"/>
      <c r="B83" s="1173" t="s">
        <v>339</v>
      </c>
      <c r="C83" s="10"/>
      <c r="D83" s="14">
        <f>'Estate Tax Estimator'!D21</f>
        <v>0</v>
      </c>
      <c r="E83" s="14">
        <f>'Estate Tax Estimator'!F21</f>
        <v>0</v>
      </c>
      <c r="F83" s="10"/>
      <c r="G83" s="349"/>
    </row>
    <row r="84" spans="1:7" ht="12.75">
      <c r="A84" s="349"/>
      <c r="B84" s="1173" t="s">
        <v>839</v>
      </c>
      <c r="C84" s="10"/>
      <c r="D84" s="14">
        <f>'Estate Tax Estimator'!D33</f>
        <v>0</v>
      </c>
      <c r="E84" s="14">
        <f>'Estate Tax Estimator'!F33</f>
        <v>0</v>
      </c>
      <c r="F84" s="10"/>
      <c r="G84" s="349"/>
    </row>
    <row r="85" spans="1:7" ht="12.75">
      <c r="A85" s="349"/>
      <c r="B85" s="1173" t="s">
        <v>574</v>
      </c>
      <c r="C85" s="10"/>
      <c r="D85" s="14">
        <f>'Estate Tax Estimator'!D45</f>
        <v>0</v>
      </c>
      <c r="E85" s="14">
        <f>'Estate Tax Estimator'!F45</f>
        <v>0</v>
      </c>
      <c r="F85" s="10"/>
      <c r="G85" s="349"/>
    </row>
    <row r="86" spans="1:7" ht="12.75">
      <c r="A86" s="349"/>
      <c r="B86" s="1173" t="s">
        <v>508</v>
      </c>
      <c r="C86" s="10"/>
      <c r="D86" s="14">
        <f>'Estate Tax Estimator'!D51</f>
        <v>0</v>
      </c>
      <c r="E86" s="14">
        <f>'Estate Tax Estimator'!F51</f>
        <v>0</v>
      </c>
      <c r="F86" s="10"/>
      <c r="G86" s="349"/>
    </row>
    <row r="87" spans="1:7" ht="12.75">
      <c r="A87" s="349"/>
      <c r="B87" s="1173" t="s">
        <v>554</v>
      </c>
      <c r="C87" s="10"/>
      <c r="D87" s="14">
        <f>'Estate Tax Estimator'!D87</f>
        <v>0</v>
      </c>
      <c r="E87" s="14">
        <f>'Estate Tax Estimator'!F87</f>
        <v>0</v>
      </c>
      <c r="F87" s="10"/>
      <c r="G87" s="349"/>
    </row>
    <row r="88" spans="1:7" ht="13.5" thickBot="1">
      <c r="A88" s="246"/>
      <c r="B88" s="1171"/>
      <c r="C88" s="31"/>
      <c r="D88" s="31"/>
      <c r="E88" s="31"/>
      <c r="F88" s="31"/>
      <c r="G88" s="246"/>
    </row>
  </sheetData>
  <sheetProtection/>
  <mergeCells count="1">
    <mergeCell ref="A1:G1"/>
  </mergeCells>
  <printOptions/>
  <pageMargins left="0.75" right="0.75" top="1" bottom="1" header="0.5" footer="0.5"/>
  <pageSetup horizontalDpi="300" verticalDpi="300" orientation="portrait" r:id="rId1"/>
  <headerFooter alignWithMargins="0">
    <oddFooter>&amp;LSummary of Inputs&amp;R&amp;P</oddFooter>
  </headerFooter>
</worksheet>
</file>

<file path=xl/worksheets/sheet2.xml><?xml version="1.0" encoding="utf-8"?>
<worksheet xmlns="http://schemas.openxmlformats.org/spreadsheetml/2006/main" xmlns:r="http://schemas.openxmlformats.org/officeDocument/2006/relationships">
  <sheetPr codeName="Sheet6">
    <tabColor indexed="17"/>
  </sheetPr>
  <dimension ref="A1:K37"/>
  <sheetViews>
    <sheetView zoomScalePageLayoutView="0" workbookViewId="0" topLeftCell="A1">
      <selection activeCell="F6" sqref="F6"/>
    </sheetView>
  </sheetViews>
  <sheetFormatPr defaultColWidth="9.140625" defaultRowHeight="12.75"/>
  <cols>
    <col min="1" max="1" width="3.7109375" style="11" customWidth="1"/>
    <col min="2" max="3" width="6.7109375" style="11" customWidth="1"/>
    <col min="4" max="4" width="30.7109375" style="11" customWidth="1"/>
    <col min="5" max="5" width="6.7109375" style="11" customWidth="1"/>
    <col min="6" max="8" width="10.7109375" style="11" customWidth="1"/>
    <col min="9" max="9" width="3.7109375" style="11" customWidth="1"/>
    <col min="10" max="16384" width="9.140625" style="11" customWidth="1"/>
  </cols>
  <sheetData>
    <row r="1" spans="1:9" ht="13.5" thickBot="1">
      <c r="A1" s="1253" t="s">
        <v>684</v>
      </c>
      <c r="B1" s="1254"/>
      <c r="C1" s="1254"/>
      <c r="D1" s="1254"/>
      <c r="E1" s="1254"/>
      <c r="F1" s="1254"/>
      <c r="G1" s="1254"/>
      <c r="H1" s="1254"/>
      <c r="I1" s="1255"/>
    </row>
    <row r="2" spans="1:9" ht="13.5" thickBot="1">
      <c r="A2" s="8"/>
      <c r="B2" s="1248">
        <f>'Client Info'!E2</f>
        <v>2010</v>
      </c>
      <c r="C2" s="1249"/>
      <c r="D2" s="1249"/>
      <c r="E2" s="1249"/>
      <c r="F2" s="1249"/>
      <c r="G2" s="1249"/>
      <c r="H2" s="1250"/>
      <c r="I2" s="248"/>
    </row>
    <row r="3" spans="1:9" ht="12.75">
      <c r="A3" s="8"/>
      <c r="B3" s="34" t="s">
        <v>789</v>
      </c>
      <c r="C3" s="10"/>
      <c r="D3" s="10"/>
      <c r="E3" s="10"/>
      <c r="F3" s="55" t="s">
        <v>219</v>
      </c>
      <c r="G3" s="452" t="s">
        <v>220</v>
      </c>
      <c r="H3" s="27"/>
      <c r="I3" s="27"/>
    </row>
    <row r="4" spans="1:9" ht="13.5" thickBot="1">
      <c r="A4" s="8"/>
      <c r="B4" s="34"/>
      <c r="C4" s="80" t="s">
        <v>787</v>
      </c>
      <c r="D4" s="10"/>
      <c r="E4" s="1251" t="str">
        <f>IF('Client Info'!B37="","Please enter wage info on page 1","")</f>
        <v>Please enter wage info on page 1</v>
      </c>
      <c r="F4" s="1251"/>
      <c r="G4" s="1251"/>
      <c r="H4" s="1252"/>
      <c r="I4" s="234"/>
    </row>
    <row r="5" spans="1:9" ht="12.75">
      <c r="A5" s="8"/>
      <c r="B5" s="8"/>
      <c r="C5" s="10"/>
      <c r="D5" s="10" t="s">
        <v>795</v>
      </c>
      <c r="E5" s="10"/>
      <c r="F5" s="614" t="str">
        <f>IF('Client Info'!B37="","Error",'Client Info'!B37)</f>
        <v>Error</v>
      </c>
      <c r="G5" s="615">
        <f>'Client Info'!F37</f>
        <v>0</v>
      </c>
      <c r="H5" s="27"/>
      <c r="I5" s="27"/>
    </row>
    <row r="6" spans="1:9" ht="12.75">
      <c r="A6" s="8"/>
      <c r="B6" s="8"/>
      <c r="C6" s="10"/>
      <c r="D6" s="10" t="s">
        <v>69</v>
      </c>
      <c r="E6" s="10"/>
      <c r="F6" s="524"/>
      <c r="G6" s="525"/>
      <c r="H6" s="27"/>
      <c r="I6" s="27"/>
    </row>
    <row r="7" spans="1:9" ht="13.5" thickBot="1">
      <c r="A7" s="8"/>
      <c r="B7" s="8"/>
      <c r="C7" s="10"/>
      <c r="D7" s="10" t="s">
        <v>70</v>
      </c>
      <c r="E7" s="10"/>
      <c r="F7" s="526"/>
      <c r="G7" s="527"/>
      <c r="H7" s="27"/>
      <c r="I7" s="27"/>
    </row>
    <row r="8" spans="1:11" ht="12.75">
      <c r="A8" s="8"/>
      <c r="B8" s="8"/>
      <c r="C8" s="10"/>
      <c r="D8" s="10"/>
      <c r="E8" s="57" t="s">
        <v>700</v>
      </c>
      <c r="F8" s="81">
        <f>SUM(F5:F7)</f>
        <v>0</v>
      </c>
      <c r="G8" s="82">
        <f>SUM(G5:G7)</f>
        <v>0</v>
      </c>
      <c r="H8" s="29"/>
      <c r="I8" s="29"/>
      <c r="K8" s="616"/>
    </row>
    <row r="9" spans="1:9" ht="13.5" thickBot="1">
      <c r="A9" s="8"/>
      <c r="B9" s="8"/>
      <c r="C9" s="80" t="s">
        <v>72</v>
      </c>
      <c r="D9" s="10"/>
      <c r="E9" s="10"/>
      <c r="F9" s="362"/>
      <c r="G9" s="363"/>
      <c r="H9" s="27"/>
      <c r="I9" s="27"/>
    </row>
    <row r="10" spans="1:9" ht="12.75">
      <c r="A10" s="8"/>
      <c r="B10" s="8"/>
      <c r="D10" s="10" t="s">
        <v>688</v>
      </c>
      <c r="E10" s="10"/>
      <c r="F10" s="524"/>
      <c r="G10" s="528"/>
      <c r="H10" s="27"/>
      <c r="I10" s="27"/>
    </row>
    <row r="11" spans="1:9" ht="12.75">
      <c r="A11" s="8"/>
      <c r="B11" s="8"/>
      <c r="D11" s="9" t="s">
        <v>687</v>
      </c>
      <c r="E11" s="10"/>
      <c r="F11" s="524"/>
      <c r="G11" s="528"/>
      <c r="H11" s="27"/>
      <c r="I11" s="27"/>
    </row>
    <row r="12" spans="1:9" ht="12.75">
      <c r="A12" s="8"/>
      <c r="B12" s="8"/>
      <c r="C12" s="10"/>
      <c r="D12" s="10" t="s">
        <v>689</v>
      </c>
      <c r="E12" s="10"/>
      <c r="F12" s="617"/>
      <c r="G12" s="618"/>
      <c r="H12" s="27"/>
      <c r="I12" s="27"/>
    </row>
    <row r="13" spans="1:9" ht="12.75">
      <c r="A13" s="8"/>
      <c r="B13" s="8"/>
      <c r="C13" s="10"/>
      <c r="D13" s="10" t="s">
        <v>73</v>
      </c>
      <c r="E13" s="10"/>
      <c r="F13" s="524"/>
      <c r="G13" s="525"/>
      <c r="H13" s="27"/>
      <c r="I13" s="27"/>
    </row>
    <row r="14" spans="1:9" ht="12.75">
      <c r="A14" s="8"/>
      <c r="B14" s="8"/>
      <c r="D14" s="10" t="s">
        <v>690</v>
      </c>
      <c r="E14" s="10"/>
      <c r="F14" s="524"/>
      <c r="G14" s="525"/>
      <c r="H14" s="27"/>
      <c r="I14" s="27"/>
    </row>
    <row r="15" spans="1:9" ht="12.75">
      <c r="A15" s="8"/>
      <c r="B15" s="8"/>
      <c r="D15" s="9" t="s">
        <v>691</v>
      </c>
      <c r="E15" s="10"/>
      <c r="F15" s="529"/>
      <c r="G15" s="530"/>
      <c r="H15" s="27"/>
      <c r="I15" s="27"/>
    </row>
    <row r="16" spans="1:9" ht="12.75">
      <c r="A16" s="8"/>
      <c r="B16" s="8"/>
      <c r="D16" s="9" t="s">
        <v>764</v>
      </c>
      <c r="E16" s="10"/>
      <c r="F16" s="529"/>
      <c r="G16" s="530"/>
      <c r="H16" s="27"/>
      <c r="I16" s="27"/>
    </row>
    <row r="17" spans="1:9" ht="12.75">
      <c r="A17" s="8"/>
      <c r="B17" s="8"/>
      <c r="D17" s="9" t="s">
        <v>692</v>
      </c>
      <c r="E17" s="10"/>
      <c r="F17" s="529"/>
      <c r="G17" s="530"/>
      <c r="H17" s="27"/>
      <c r="I17" s="27"/>
    </row>
    <row r="18" spans="1:9" ht="13.5" thickBot="1">
      <c r="A18" s="8"/>
      <c r="B18" s="8"/>
      <c r="C18" s="10"/>
      <c r="D18" s="9" t="s">
        <v>70</v>
      </c>
      <c r="E18" s="10"/>
      <c r="F18" s="526"/>
      <c r="G18" s="527"/>
      <c r="H18" s="27"/>
      <c r="I18" s="27"/>
    </row>
    <row r="19" spans="1:9" ht="12.75">
      <c r="A19" s="8"/>
      <c r="B19" s="8"/>
      <c r="C19" s="10"/>
      <c r="D19" s="10"/>
      <c r="E19" s="57" t="s">
        <v>701</v>
      </c>
      <c r="F19" s="81">
        <f>SUM(F10:F18)</f>
        <v>0</v>
      </c>
      <c r="G19" s="82">
        <f>SUM(G10:G18)</f>
        <v>0</v>
      </c>
      <c r="H19" s="29"/>
      <c r="I19" s="29"/>
    </row>
    <row r="20" spans="1:9" ht="13.5" thickBot="1">
      <c r="A20" s="8"/>
      <c r="B20" s="8"/>
      <c r="C20" s="10"/>
      <c r="D20" s="10"/>
      <c r="E20" s="10"/>
      <c r="F20" s="362"/>
      <c r="G20" s="363"/>
      <c r="H20" s="29"/>
      <c r="I20" s="29"/>
    </row>
    <row r="21" spans="1:9" ht="13.5" thickBot="1">
      <c r="A21" s="8"/>
      <c r="B21" s="364" t="s">
        <v>790</v>
      </c>
      <c r="C21" s="10"/>
      <c r="D21" s="10"/>
      <c r="E21" s="27"/>
      <c r="F21" s="84">
        <f>F8+F19</f>
        <v>0</v>
      </c>
      <c r="G21" s="85">
        <f>G8+G19</f>
        <v>0</v>
      </c>
      <c r="H21" s="95"/>
      <c r="I21" s="95"/>
    </row>
    <row r="22" spans="1:9" ht="13.5" thickBot="1">
      <c r="A22" s="8"/>
      <c r="B22" s="86"/>
      <c r="C22" s="41"/>
      <c r="D22" s="41"/>
      <c r="E22" s="41"/>
      <c r="F22" s="87"/>
      <c r="G22" s="87"/>
      <c r="H22" s="88"/>
      <c r="I22" s="27"/>
    </row>
    <row r="23" spans="1:9" ht="14.25" thickBot="1" thickTop="1">
      <c r="A23" s="8"/>
      <c r="B23" s="34" t="s">
        <v>474</v>
      </c>
      <c r="C23" s="10"/>
      <c r="D23" s="10"/>
      <c r="E23" s="10"/>
      <c r="F23" s="10"/>
      <c r="G23" s="91"/>
      <c r="H23" s="27"/>
      <c r="I23" s="27"/>
    </row>
    <row r="24" spans="1:9" ht="12.75">
      <c r="A24" s="8"/>
      <c r="B24" s="8"/>
      <c r="D24" s="10" t="s">
        <v>29</v>
      </c>
      <c r="E24" s="10"/>
      <c r="F24" s="531"/>
      <c r="G24" s="532"/>
      <c r="H24" s="27"/>
      <c r="I24" s="27"/>
    </row>
    <row r="25" spans="1:9" ht="12.75">
      <c r="A25" s="8"/>
      <c r="B25" s="8"/>
      <c r="D25" s="10" t="s">
        <v>74</v>
      </c>
      <c r="E25" s="10"/>
      <c r="F25" s="533"/>
      <c r="G25" s="534"/>
      <c r="H25" s="27"/>
      <c r="I25" s="27"/>
    </row>
    <row r="26" spans="1:9" ht="12.75">
      <c r="A26" s="8"/>
      <c r="B26" s="8"/>
      <c r="D26" s="10" t="s">
        <v>28</v>
      </c>
      <c r="E26" s="10"/>
      <c r="F26" s="533"/>
      <c r="G26" s="534"/>
      <c r="H26" s="27"/>
      <c r="I26" s="27"/>
    </row>
    <row r="27" spans="1:9" ht="12.75">
      <c r="A27" s="8"/>
      <c r="B27" s="8"/>
      <c r="D27" s="10" t="s">
        <v>765</v>
      </c>
      <c r="E27" s="10"/>
      <c r="F27" s="524"/>
      <c r="G27" s="525"/>
      <c r="H27" s="27"/>
      <c r="I27" s="27"/>
    </row>
    <row r="28" spans="1:9" ht="12.75">
      <c r="A28" s="8"/>
      <c r="B28" s="8"/>
      <c r="D28" s="10" t="s">
        <v>768</v>
      </c>
      <c r="E28" s="10"/>
      <c r="F28" s="524"/>
      <c r="G28" s="534"/>
      <c r="H28" s="27"/>
      <c r="I28" s="27"/>
    </row>
    <row r="29" spans="1:9" ht="13.5" thickBot="1">
      <c r="A29" s="8"/>
      <c r="B29" s="8"/>
      <c r="D29" s="9" t="s">
        <v>70</v>
      </c>
      <c r="E29" s="10"/>
      <c r="F29" s="526"/>
      <c r="G29" s="527"/>
      <c r="H29" s="27"/>
      <c r="I29" s="27"/>
    </row>
    <row r="30" spans="1:9" ht="12.75">
      <c r="A30" s="8"/>
      <c r="B30" s="364"/>
      <c r="C30" s="10"/>
      <c r="D30" s="10"/>
      <c r="E30" s="57" t="s">
        <v>702</v>
      </c>
      <c r="F30" s="365">
        <f>SUM(F24:F29)</f>
        <v>0</v>
      </c>
      <c r="G30" s="366">
        <f>SUM(G24:G29)</f>
        <v>0</v>
      </c>
      <c r="H30" s="95"/>
      <c r="I30" s="95"/>
    </row>
    <row r="31" spans="1:9" ht="13.5" thickBot="1">
      <c r="A31" s="8"/>
      <c r="B31" s="86"/>
      <c r="C31" s="41"/>
      <c r="D31" s="41"/>
      <c r="E31" s="92"/>
      <c r="F31" s="90"/>
      <c r="G31" s="93"/>
      <c r="H31" s="88"/>
      <c r="I31" s="27"/>
    </row>
    <row r="32" spans="1:9" ht="13.5" thickTop="1">
      <c r="A32" s="8"/>
      <c r="B32" s="8"/>
      <c r="C32" s="10"/>
      <c r="D32" s="10"/>
      <c r="E32" s="10"/>
      <c r="F32" s="15"/>
      <c r="G32" s="94"/>
      <c r="H32" s="95"/>
      <c r="I32" s="95"/>
    </row>
    <row r="33" spans="1:9" ht="12.75">
      <c r="A33" s="8"/>
      <c r="B33" s="96" t="s">
        <v>788</v>
      </c>
      <c r="C33" s="10"/>
      <c r="D33" s="10"/>
      <c r="E33" s="10"/>
      <c r="F33" s="97">
        <f>F21+F30</f>
        <v>0</v>
      </c>
      <c r="G33" s="98">
        <f>G21+G30</f>
        <v>0</v>
      </c>
      <c r="H33" s="99"/>
      <c r="I33" s="99"/>
    </row>
    <row r="34" spans="1:9" ht="13.5" thickBot="1">
      <c r="A34" s="30"/>
      <c r="B34" s="30"/>
      <c r="C34" s="31"/>
      <c r="D34" s="31"/>
      <c r="E34" s="31"/>
      <c r="F34" s="31"/>
      <c r="G34" s="100"/>
      <c r="H34" s="33"/>
      <c r="I34" s="33"/>
    </row>
    <row r="35" ht="12.75"/>
    <row r="36" ht="12.75">
      <c r="F36" s="51"/>
    </row>
    <row r="37" ht="12.75">
      <c r="F37" s="51"/>
    </row>
  </sheetData>
  <sheetProtection/>
  <mergeCells count="3">
    <mergeCell ref="B2:H2"/>
    <mergeCell ref="E4:H4"/>
    <mergeCell ref="A1:I1"/>
  </mergeCells>
  <printOptions horizontalCentered="1"/>
  <pageMargins left="0.75" right="0.75" top="0.75" bottom="0.75" header="0.5" footer="0.5"/>
  <pageSetup horizontalDpi="300" verticalDpi="300" orientation="portrait" r:id="rId3"/>
  <headerFooter alignWithMargins="0">
    <oddFooter>&amp;LIncome Statement&amp;R&amp;P</oddFooter>
  </headerFooter>
  <ignoredErrors>
    <ignoredError sqref="F5:G5" unlockedFormula="1"/>
  </ignoredErrors>
  <legacyDrawing r:id="rId2"/>
</worksheet>
</file>

<file path=xl/worksheets/sheet3.xml><?xml version="1.0" encoding="utf-8"?>
<worksheet xmlns="http://schemas.openxmlformats.org/spreadsheetml/2006/main" xmlns:r="http://schemas.openxmlformats.org/officeDocument/2006/relationships">
  <sheetPr codeName="Sheet2">
    <tabColor indexed="20"/>
  </sheetPr>
  <dimension ref="A1:IT53"/>
  <sheetViews>
    <sheetView zoomScalePageLayoutView="0" workbookViewId="0" topLeftCell="A1">
      <selection activeCell="F6" sqref="F6"/>
    </sheetView>
  </sheetViews>
  <sheetFormatPr defaultColWidth="10.28125" defaultRowHeight="12.75"/>
  <cols>
    <col min="1" max="1" width="6.7109375" style="11" customWidth="1"/>
    <col min="2" max="3" width="10.7109375" style="11" customWidth="1"/>
    <col min="4" max="4" width="19.7109375" style="11" customWidth="1"/>
    <col min="5" max="5" width="3.7109375" style="11" customWidth="1"/>
    <col min="6" max="6" width="12.7109375" style="11" customWidth="1"/>
    <col min="7" max="7" width="12.7109375" style="13" customWidth="1"/>
    <col min="8" max="8" width="12.7109375" style="51" bestFit="1" customWidth="1"/>
    <col min="9" max="16384" width="10.28125" style="11" customWidth="1"/>
  </cols>
  <sheetData>
    <row r="1" spans="1:8" ht="13.5" thickBot="1">
      <c r="A1" s="1253" t="s">
        <v>685</v>
      </c>
      <c r="B1" s="1254"/>
      <c r="C1" s="1254"/>
      <c r="D1" s="1254"/>
      <c r="E1" s="1254"/>
      <c r="F1" s="1254"/>
      <c r="G1" s="1254"/>
      <c r="H1" s="1255"/>
    </row>
    <row r="2" spans="1:8" ht="13.5" thickBot="1">
      <c r="A2" s="1266">
        <f>'Client Info'!E2</f>
        <v>2010</v>
      </c>
      <c r="B2" s="1267"/>
      <c r="C2" s="1267"/>
      <c r="D2" s="1267"/>
      <c r="E2" s="1267"/>
      <c r="F2" s="1267"/>
      <c r="G2" s="1267"/>
      <c r="H2" s="1268"/>
    </row>
    <row r="3" spans="1:19" ht="13.5" thickTop="1">
      <c r="A3" s="34" t="s">
        <v>791</v>
      </c>
      <c r="B3" s="55"/>
      <c r="C3" s="55"/>
      <c r="D3" s="55"/>
      <c r="E3" s="55"/>
      <c r="F3" s="273" t="s">
        <v>219</v>
      </c>
      <c r="G3" s="273" t="s">
        <v>220</v>
      </c>
      <c r="H3" s="56" t="s">
        <v>216</v>
      </c>
      <c r="J3" s="239"/>
      <c r="K3" s="239"/>
      <c r="L3" s="239"/>
      <c r="M3" s="239"/>
      <c r="N3" s="239"/>
      <c r="O3" s="239"/>
      <c r="P3" s="239"/>
      <c r="Q3" s="239"/>
      <c r="R3" s="239"/>
      <c r="S3" s="239"/>
    </row>
    <row r="4" spans="1:254" ht="13.5" thickBot="1">
      <c r="A4" s="8"/>
      <c r="B4" s="35"/>
      <c r="C4" s="35"/>
      <c r="D4" s="35"/>
      <c r="E4" s="27"/>
      <c r="F4" s="619">
        <f>'Inc Stmt'!F21</f>
        <v>0</v>
      </c>
      <c r="G4" s="620">
        <f>'Inc Stmt'!G21</f>
        <v>0</v>
      </c>
      <c r="H4" s="5">
        <f>G4+F4</f>
        <v>0</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13.5" thickBot="1">
      <c r="A5" s="34" t="s">
        <v>34</v>
      </c>
      <c r="B5" s="35"/>
      <c r="C5" s="35"/>
      <c r="D5" s="35"/>
      <c r="E5" s="36"/>
      <c r="F5" s="37"/>
      <c r="G5" s="35"/>
      <c r="H5" s="1"/>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row>
    <row r="6" spans="1:8" ht="12.75">
      <c r="A6" s="8"/>
      <c r="B6" s="10" t="s">
        <v>767</v>
      </c>
      <c r="C6" s="10"/>
      <c r="D6" s="10"/>
      <c r="E6" s="1218" t="s">
        <v>120</v>
      </c>
      <c r="F6" s="535"/>
      <c r="G6" s="535"/>
      <c r="H6" s="3"/>
    </row>
    <row r="7" spans="1:8" ht="12.75">
      <c r="A7" s="8"/>
      <c r="B7" s="11" t="s">
        <v>803</v>
      </c>
      <c r="C7" s="10"/>
      <c r="D7" s="10"/>
      <c r="E7" s="1217" t="s">
        <v>120</v>
      </c>
      <c r="F7" s="536"/>
      <c r="G7" s="536"/>
      <c r="H7" s="3"/>
    </row>
    <row r="8" spans="1:10" ht="12.75">
      <c r="A8" s="8"/>
      <c r="B8" s="10" t="s">
        <v>44</v>
      </c>
      <c r="C8" s="10"/>
      <c r="D8" s="10"/>
      <c r="E8" s="1219" t="s">
        <v>120</v>
      </c>
      <c r="F8" s="536"/>
      <c r="G8" s="536"/>
      <c r="H8" s="2"/>
      <c r="J8" s="621"/>
    </row>
    <row r="9" spans="1:10" ht="13.5" thickBot="1">
      <c r="A9" s="8"/>
      <c r="B9" s="10" t="s">
        <v>43</v>
      </c>
      <c r="C9" s="10"/>
      <c r="D9" s="10"/>
      <c r="E9" s="1219" t="s">
        <v>120</v>
      </c>
      <c r="F9" s="537"/>
      <c r="G9" s="537"/>
      <c r="H9" s="2"/>
      <c r="J9" s="621"/>
    </row>
    <row r="10" spans="1:8" ht="13.5" thickBot="1">
      <c r="A10" s="265" t="s">
        <v>792</v>
      </c>
      <c r="B10" s="10"/>
      <c r="C10" s="10"/>
      <c r="D10" s="10"/>
      <c r="E10" s="205" t="s">
        <v>119</v>
      </c>
      <c r="F10" s="14">
        <f>F4-SUM(F6:F9)</f>
        <v>0</v>
      </c>
      <c r="G10" s="14">
        <f>G4-SUM(G6:G9)</f>
        <v>0</v>
      </c>
      <c r="H10" s="19">
        <f>SUM(F10:G10)</f>
        <v>0</v>
      </c>
    </row>
    <row r="11" spans="1:8" ht="13.5" thickBot="1">
      <c r="A11" s="265" t="s">
        <v>45</v>
      </c>
      <c r="B11" s="9"/>
      <c r="C11" s="10"/>
      <c r="D11" s="10"/>
      <c r="E11" s="272" t="s">
        <v>121</v>
      </c>
      <c r="F11" s="622">
        <f>'Inc Stmt'!F30</f>
        <v>0</v>
      </c>
      <c r="G11" s="623">
        <f>'Inc Stmt'!G30</f>
        <v>0</v>
      </c>
      <c r="H11" s="277"/>
    </row>
    <row r="12" spans="1:8" ht="13.5" thickBot="1">
      <c r="A12" s="40"/>
      <c r="B12" s="270"/>
      <c r="C12" s="41"/>
      <c r="D12" s="274" t="s">
        <v>33</v>
      </c>
      <c r="E12" s="41"/>
      <c r="F12" s="276">
        <f>F10+F11</f>
        <v>0</v>
      </c>
      <c r="G12" s="276">
        <f>SUM(G10:G11)</f>
        <v>0</v>
      </c>
      <c r="H12" s="275">
        <f>SUM(F12:G12)</f>
        <v>0</v>
      </c>
    </row>
    <row r="13" spans="1:254" ht="14.25" thickBot="1" thickTop="1">
      <c r="A13" s="34" t="s">
        <v>796</v>
      </c>
      <c r="B13" s="10"/>
      <c r="C13" s="35"/>
      <c r="D13" s="35"/>
      <c r="E13" s="38"/>
      <c r="F13" s="10"/>
      <c r="G13" s="35"/>
      <c r="H13" s="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row>
    <row r="14" spans="1:8" ht="12.75">
      <c r="A14" s="267" t="s">
        <v>251</v>
      </c>
      <c r="B14" s="10" t="s">
        <v>31</v>
      </c>
      <c r="C14" s="10"/>
      <c r="D14" s="39"/>
      <c r="E14" s="10"/>
      <c r="F14" s="1226"/>
      <c r="G14" s="1256" t="str">
        <f>IF($F$15&gt;$F$14,"Possible Overpayment of","Possible Underpayment of")</f>
        <v>Possible Underpayment of</v>
      </c>
      <c r="H14" s="1259">
        <f>F15-F14</f>
        <v>0</v>
      </c>
    </row>
    <row r="15" spans="1:8" ht="12.75">
      <c r="A15" s="267"/>
      <c r="B15" s="10"/>
      <c r="C15" s="10"/>
      <c r="D15" s="204" t="s">
        <v>281</v>
      </c>
      <c r="E15" s="10"/>
      <c r="F15" s="538"/>
      <c r="G15" s="1257"/>
      <c r="H15" s="1260"/>
    </row>
    <row r="16" spans="1:8" ht="12.75">
      <c r="A16" s="267" t="s">
        <v>251</v>
      </c>
      <c r="B16" s="10" t="s">
        <v>32</v>
      </c>
      <c r="C16" s="10"/>
      <c r="D16" s="204"/>
      <c r="E16" s="1218" t="s">
        <v>121</v>
      </c>
      <c r="F16" s="1169"/>
      <c r="G16" s="1258" t="str">
        <f>IF($F$17&gt;$F$16,"Possible Overpayment of","Possible Underpayment of")</f>
        <v>Possible Underpayment of</v>
      </c>
      <c r="H16" s="1261">
        <f>F17-F16</f>
        <v>0</v>
      </c>
    </row>
    <row r="17" spans="1:8" ht="12.75">
      <c r="A17" s="267"/>
      <c r="B17" s="10"/>
      <c r="C17" s="10"/>
      <c r="D17" s="204" t="s">
        <v>282</v>
      </c>
      <c r="E17" s="70"/>
      <c r="F17" s="539"/>
      <c r="G17" s="1257"/>
      <c r="H17" s="1260"/>
    </row>
    <row r="18" spans="1:8" ht="12.75">
      <c r="A18" s="267" t="s">
        <v>251</v>
      </c>
      <c r="B18" s="10" t="s">
        <v>12</v>
      </c>
      <c r="C18" s="10"/>
      <c r="D18" s="204"/>
      <c r="E18" s="1218" t="s">
        <v>121</v>
      </c>
      <c r="F18" s="1227"/>
      <c r="G18" s="1258" t="str">
        <f>IF($F$19&gt;$F$18,"Possible Overpayment of","Possible Underpayment of")</f>
        <v>Possible Underpayment of</v>
      </c>
      <c r="H18" s="1261">
        <f>F19-F18</f>
        <v>0</v>
      </c>
    </row>
    <row r="19" spans="1:8" ht="13.5" thickBot="1">
      <c r="A19" s="8"/>
      <c r="B19" s="10"/>
      <c r="C19" s="10"/>
      <c r="D19" s="204" t="s">
        <v>283</v>
      </c>
      <c r="E19" s="429"/>
      <c r="F19" s="540"/>
      <c r="G19" s="1264"/>
      <c r="H19" s="1265"/>
    </row>
    <row r="20" spans="1:8" ht="13.5" thickBot="1">
      <c r="A20" s="430" t="s">
        <v>794</v>
      </c>
      <c r="B20" s="41"/>
      <c r="C20" s="41"/>
      <c r="E20" s="10"/>
      <c r="F20" s="209" t="s">
        <v>793</v>
      </c>
      <c r="G20" s="271">
        <f>F14+F16+F18</f>
        <v>0</v>
      </c>
      <c r="H20" s="6"/>
    </row>
    <row r="21" spans="1:254" ht="14.25" thickBot="1" thickTop="1">
      <c r="A21" s="266" t="s">
        <v>46</v>
      </c>
      <c r="B21" s="42"/>
      <c r="C21" s="42"/>
      <c r="D21" s="42"/>
      <c r="E21" s="42"/>
      <c r="F21" s="43"/>
      <c r="G21" s="44"/>
      <c r="H21" s="20">
        <f>H12-G20</f>
        <v>0</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row>
    <row r="22" spans="1:254" ht="14.25" thickBot="1" thickTop="1">
      <c r="A22" s="34" t="s">
        <v>753</v>
      </c>
      <c r="B22" s="35"/>
      <c r="C22" s="35"/>
      <c r="D22" s="35"/>
      <c r="E22" s="38"/>
      <c r="F22" s="1262"/>
      <c r="G22" s="1263"/>
      <c r="H22" s="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row>
    <row r="23" spans="1:8" ht="12.75">
      <c r="A23" s="8"/>
      <c r="B23" s="10" t="s">
        <v>542</v>
      </c>
      <c r="D23" s="10"/>
      <c r="E23" s="10"/>
      <c r="F23" s="541"/>
      <c r="G23" s="624"/>
      <c r="H23" s="2"/>
    </row>
    <row r="24" spans="1:8" ht="12.75">
      <c r="A24" s="8"/>
      <c r="B24" s="9" t="s">
        <v>36</v>
      </c>
      <c r="D24" s="10"/>
      <c r="E24" s="10"/>
      <c r="F24" s="542"/>
      <c r="G24" s="625"/>
      <c r="H24" s="3"/>
    </row>
    <row r="25" spans="1:8" ht="12.75">
      <c r="A25" s="8"/>
      <c r="B25" s="10" t="s">
        <v>530</v>
      </c>
      <c r="C25" s="10"/>
      <c r="D25" s="10"/>
      <c r="E25" s="10"/>
      <c r="F25" s="542"/>
      <c r="G25" s="625"/>
      <c r="H25" s="3"/>
    </row>
    <row r="26" spans="1:8" ht="12.75">
      <c r="A26" s="8"/>
      <c r="B26" s="10" t="s">
        <v>7</v>
      </c>
      <c r="D26" s="10"/>
      <c r="E26" s="10"/>
      <c r="F26" s="542"/>
      <c r="G26" s="625"/>
      <c r="H26" s="3"/>
    </row>
    <row r="27" spans="1:8" ht="12.75">
      <c r="A27" s="8"/>
      <c r="B27" s="10" t="s">
        <v>656</v>
      </c>
      <c r="C27" s="10"/>
      <c r="D27" s="10"/>
      <c r="E27" s="10"/>
      <c r="F27" s="542"/>
      <c r="G27" s="626"/>
      <c r="H27" s="7"/>
    </row>
    <row r="28" spans="1:8" ht="12.75">
      <c r="A28" s="8"/>
      <c r="B28" s="10" t="s">
        <v>9</v>
      </c>
      <c r="C28" s="10"/>
      <c r="D28" s="10"/>
      <c r="E28" s="10"/>
      <c r="F28" s="542"/>
      <c r="G28" s="625"/>
      <c r="H28" s="3"/>
    </row>
    <row r="29" spans="1:8" ht="12.75">
      <c r="A29" s="8"/>
      <c r="B29" s="10" t="s">
        <v>6</v>
      </c>
      <c r="D29" s="10"/>
      <c r="E29" s="10"/>
      <c r="F29" s="543"/>
      <c r="G29" s="625"/>
      <c r="H29" s="3"/>
    </row>
    <row r="30" spans="1:8" ht="13.5" thickBot="1">
      <c r="A30" s="8"/>
      <c r="B30" s="10" t="s">
        <v>8</v>
      </c>
      <c r="C30" s="10"/>
      <c r="D30" s="10"/>
      <c r="E30" s="28"/>
      <c r="F30" s="544"/>
      <c r="G30" s="627"/>
      <c r="H30" s="3"/>
    </row>
    <row r="31" spans="1:8" ht="13.5" thickBot="1">
      <c r="A31" s="40"/>
      <c r="B31" s="41"/>
      <c r="C31" s="41"/>
      <c r="D31" s="41"/>
      <c r="E31" s="41"/>
      <c r="F31" s="401"/>
      <c r="G31" s="209" t="s">
        <v>415</v>
      </c>
      <c r="H31" s="399">
        <f>SUM(F23:G30)</f>
        <v>0</v>
      </c>
    </row>
    <row r="32" spans="1:254" ht="14.25" thickBot="1" thickTop="1">
      <c r="A32" s="34" t="s">
        <v>0</v>
      </c>
      <c r="B32" s="35"/>
      <c r="C32" s="35"/>
      <c r="D32" s="35"/>
      <c r="E32" s="45"/>
      <c r="F32" s="1262"/>
      <c r="G32" s="1263"/>
      <c r="H32" s="2"/>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row>
    <row r="33" spans="1:8" ht="12.75">
      <c r="A33" s="8"/>
      <c r="B33" s="10" t="s">
        <v>1</v>
      </c>
      <c r="C33" s="10"/>
      <c r="D33" s="10"/>
      <c r="E33" s="10"/>
      <c r="F33" s="541"/>
      <c r="G33" s="628"/>
      <c r="H33" s="2"/>
    </row>
    <row r="34" spans="1:8" ht="12.75">
      <c r="A34" s="8"/>
      <c r="B34" s="10" t="s">
        <v>47</v>
      </c>
      <c r="C34" s="10"/>
      <c r="D34" s="10"/>
      <c r="E34" s="10"/>
      <c r="F34" s="542"/>
      <c r="G34" s="629"/>
      <c r="H34" s="3"/>
    </row>
    <row r="35" spans="1:8" ht="12.75">
      <c r="A35" s="267" t="s">
        <v>251</v>
      </c>
      <c r="B35" s="10" t="s">
        <v>2</v>
      </c>
      <c r="C35" s="10"/>
      <c r="D35" s="10"/>
      <c r="E35" s="10"/>
      <c r="F35" s="542"/>
      <c r="G35" s="629"/>
      <c r="H35" s="3"/>
    </row>
    <row r="36" spans="1:8" ht="12.75">
      <c r="A36" s="267" t="s">
        <v>251</v>
      </c>
      <c r="B36" s="10" t="s">
        <v>3</v>
      </c>
      <c r="C36" s="10"/>
      <c r="D36" s="10"/>
      <c r="E36" s="10"/>
      <c r="F36" s="542"/>
      <c r="G36" s="629"/>
      <c r="H36" s="3"/>
    </row>
    <row r="37" spans="1:8" ht="12.75">
      <c r="A37" s="267" t="s">
        <v>251</v>
      </c>
      <c r="B37" s="10" t="s">
        <v>11</v>
      </c>
      <c r="C37" s="10"/>
      <c r="D37" s="10"/>
      <c r="E37" s="10"/>
      <c r="F37" s="542"/>
      <c r="G37" s="629"/>
      <c r="H37" s="3"/>
    </row>
    <row r="38" spans="1:8" ht="12.75">
      <c r="A38" s="267" t="s">
        <v>251</v>
      </c>
      <c r="B38" s="10" t="s">
        <v>5</v>
      </c>
      <c r="C38" s="10"/>
      <c r="D38" s="10"/>
      <c r="E38" s="10"/>
      <c r="F38" s="542"/>
      <c r="G38" s="629"/>
      <c r="H38" s="3"/>
    </row>
    <row r="39" spans="1:8" ht="13.5" thickBot="1">
      <c r="A39" s="8"/>
      <c r="B39" s="10" t="s">
        <v>10</v>
      </c>
      <c r="C39" s="10"/>
      <c r="D39" s="10"/>
      <c r="E39" s="10"/>
      <c r="F39" s="544"/>
      <c r="G39" s="630"/>
      <c r="H39" s="3"/>
    </row>
    <row r="40" spans="1:8" ht="13.5" thickBot="1">
      <c r="A40" s="413" t="s">
        <v>531</v>
      </c>
      <c r="B40" s="414"/>
      <c r="C40" s="414"/>
      <c r="D40" s="414"/>
      <c r="E40" s="414"/>
      <c r="F40" s="401"/>
      <c r="G40" s="209" t="s">
        <v>280</v>
      </c>
      <c r="H40" s="400">
        <f>SUM(F33:G39)</f>
        <v>0</v>
      </c>
    </row>
    <row r="41" spans="1:254" ht="14.25" thickBot="1" thickTop="1">
      <c r="A41" s="34" t="s">
        <v>4</v>
      </c>
      <c r="B41" s="35"/>
      <c r="C41" s="35"/>
      <c r="D41" s="45"/>
      <c r="F41" s="1262"/>
      <c r="G41" s="1263"/>
      <c r="H41" s="4"/>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row>
    <row r="42" spans="1:8" ht="12.75">
      <c r="A42" s="8"/>
      <c r="B42" s="10" t="s">
        <v>763</v>
      </c>
      <c r="C42" s="10"/>
      <c r="D42" s="10"/>
      <c r="E42" s="10"/>
      <c r="F42" s="545"/>
      <c r="G42" s="624"/>
      <c r="H42" s="2"/>
    </row>
    <row r="43" spans="1:8" ht="12.75">
      <c r="A43" s="267" t="s">
        <v>251</v>
      </c>
      <c r="B43" s="10" t="s">
        <v>199</v>
      </c>
      <c r="C43" s="10"/>
      <c r="D43" s="10"/>
      <c r="E43" s="10"/>
      <c r="F43" s="546"/>
      <c r="G43" s="625"/>
      <c r="H43" s="3"/>
    </row>
    <row r="44" spans="1:8" ht="12.75">
      <c r="A44" s="267" t="s">
        <v>251</v>
      </c>
      <c r="B44" s="10" t="s">
        <v>200</v>
      </c>
      <c r="C44" s="10"/>
      <c r="D44" s="10"/>
      <c r="E44" s="10"/>
      <c r="F44" s="546"/>
      <c r="G44" s="625"/>
      <c r="H44" s="3"/>
    </row>
    <row r="45" spans="1:8" ht="12.75">
      <c r="A45" s="267" t="s">
        <v>251</v>
      </c>
      <c r="B45" s="10" t="s">
        <v>201</v>
      </c>
      <c r="C45" s="10"/>
      <c r="D45" s="10"/>
      <c r="E45" s="10"/>
      <c r="F45" s="546"/>
      <c r="G45" s="625"/>
      <c r="H45" s="3"/>
    </row>
    <row r="46" spans="1:8" ht="12.75">
      <c r="A46" s="8"/>
      <c r="B46" s="10" t="s">
        <v>754</v>
      </c>
      <c r="C46" s="10"/>
      <c r="D46" s="10"/>
      <c r="E46" s="10"/>
      <c r="F46" s="546"/>
      <c r="G46" s="625"/>
      <c r="H46" s="3"/>
    </row>
    <row r="47" spans="1:8" ht="12.75">
      <c r="A47" s="8"/>
      <c r="B47" s="10" t="s">
        <v>523</v>
      </c>
      <c r="C47" s="10"/>
      <c r="D47" s="10"/>
      <c r="E47" s="10"/>
      <c r="F47" s="547"/>
      <c r="G47" s="625"/>
      <c r="H47" s="3"/>
    </row>
    <row r="48" spans="1:8" ht="12.75">
      <c r="A48" s="8"/>
      <c r="B48" s="9" t="s">
        <v>762</v>
      </c>
      <c r="C48" s="10"/>
      <c r="D48" s="10"/>
      <c r="E48" s="10"/>
      <c r="F48" s="547"/>
      <c r="G48" s="625"/>
      <c r="H48" s="3"/>
    </row>
    <row r="49" spans="1:8" ht="12.75">
      <c r="A49" s="8"/>
      <c r="B49" s="9" t="s">
        <v>202</v>
      </c>
      <c r="C49" s="10"/>
      <c r="D49" s="10"/>
      <c r="E49" s="10"/>
      <c r="F49" s="547"/>
      <c r="G49" s="625"/>
      <c r="H49" s="3"/>
    </row>
    <row r="50" spans="1:8" ht="13.5" thickBot="1">
      <c r="A50" s="8"/>
      <c r="B50" s="9" t="s">
        <v>766</v>
      </c>
      <c r="C50" s="10"/>
      <c r="D50" s="10"/>
      <c r="E50" s="10"/>
      <c r="F50" s="631"/>
      <c r="G50" s="632"/>
      <c r="H50" s="3"/>
    </row>
    <row r="51" spans="1:8" ht="13.5" thickBot="1">
      <c r="A51" s="431" t="s">
        <v>761</v>
      </c>
      <c r="B51" s="10"/>
      <c r="C51" s="10"/>
      <c r="D51" s="10"/>
      <c r="E51" s="12"/>
      <c r="G51" s="210" t="s">
        <v>760</v>
      </c>
      <c r="H51" s="400">
        <f>SUM(F42:G50)</f>
        <v>0</v>
      </c>
    </row>
    <row r="52" spans="1:8" ht="14.25" thickBot="1" thickTop="1">
      <c r="A52" s="25" t="s">
        <v>758</v>
      </c>
      <c r="B52" s="47"/>
      <c r="C52" s="47"/>
      <c r="D52" s="47"/>
      <c r="E52" s="48"/>
      <c r="F52" s="49"/>
      <c r="G52" s="42"/>
      <c r="H52" s="17">
        <f>H31+H40+H51</f>
        <v>0</v>
      </c>
    </row>
    <row r="53" spans="1:254" ht="14.25" thickBot="1" thickTop="1">
      <c r="A53" s="268" t="s">
        <v>757</v>
      </c>
      <c r="B53" s="50"/>
      <c r="C53" s="50"/>
      <c r="D53" s="50"/>
      <c r="E53" s="50"/>
      <c r="F53" s="50"/>
      <c r="G53" s="50"/>
      <c r="H53" s="18">
        <f>H21-H52</f>
        <v>0</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row>
  </sheetData>
  <sheetProtection/>
  <mergeCells count="11">
    <mergeCell ref="F32:G32"/>
    <mergeCell ref="A1:H1"/>
    <mergeCell ref="G14:G15"/>
    <mergeCell ref="G16:G17"/>
    <mergeCell ref="H14:H15"/>
    <mergeCell ref="H16:H17"/>
    <mergeCell ref="F41:G41"/>
    <mergeCell ref="G18:G19"/>
    <mergeCell ref="H18:H19"/>
    <mergeCell ref="A2:H2"/>
    <mergeCell ref="F22:G22"/>
  </mergeCells>
  <printOptions horizontalCentered="1"/>
  <pageMargins left="0.75" right="0.75" top="0.75" bottom="0.5" header="0.5" footer="0.5"/>
  <pageSetup horizontalDpi="300" verticalDpi="300" orientation="portrait" r:id="rId3"/>
  <headerFooter alignWithMargins="0">
    <oddFooter>&amp;LDedicated Expenses&amp;R&amp;P</oddFooter>
  </headerFooter>
  <ignoredErrors>
    <ignoredError sqref="F11 F4:G4 F10:G10 G11" unlockedFormula="1"/>
  </ignoredErrors>
  <legacyDrawing r:id="rId2"/>
</worksheet>
</file>

<file path=xl/worksheets/sheet4.xml><?xml version="1.0" encoding="utf-8"?>
<worksheet xmlns="http://schemas.openxmlformats.org/spreadsheetml/2006/main" xmlns:r="http://schemas.openxmlformats.org/officeDocument/2006/relationships">
  <sheetPr codeName="Sheet1">
    <tabColor indexed="19"/>
  </sheetPr>
  <dimension ref="A1:L96"/>
  <sheetViews>
    <sheetView zoomScalePageLayoutView="0" workbookViewId="0" topLeftCell="A1">
      <selection activeCell="C2" sqref="C2:F2"/>
    </sheetView>
  </sheetViews>
  <sheetFormatPr defaultColWidth="9.140625" defaultRowHeight="12.75"/>
  <cols>
    <col min="1" max="1" width="12.7109375" style="11" customWidth="1"/>
    <col min="2" max="3" width="10.7109375" style="11" customWidth="1"/>
    <col min="4" max="4" width="9.7109375" style="11" customWidth="1"/>
    <col min="5" max="5" width="15.7109375" style="11" customWidth="1"/>
    <col min="6" max="7" width="10.7109375" style="11" customWidth="1"/>
    <col min="8" max="8" width="8.7109375" style="65" customWidth="1"/>
    <col min="9" max="10" width="9.140625" style="11" customWidth="1"/>
    <col min="11" max="11" width="0" style="11" hidden="1" customWidth="1"/>
    <col min="12" max="16384" width="9.140625" style="11" customWidth="1"/>
  </cols>
  <sheetData>
    <row r="1" spans="1:8" ht="13.5" thickBot="1">
      <c r="A1" s="1240" t="s">
        <v>669</v>
      </c>
      <c r="B1" s="1241"/>
      <c r="C1" s="1241"/>
      <c r="D1" s="1241"/>
      <c r="E1" s="1241"/>
      <c r="F1" s="1241"/>
      <c r="G1" s="1241"/>
      <c r="H1" s="1242"/>
    </row>
    <row r="2" spans="1:8" ht="13.5" thickBot="1">
      <c r="A2" s="8"/>
      <c r="B2" s="22" t="s">
        <v>50</v>
      </c>
      <c r="C2" s="1272"/>
      <c r="D2" s="1273"/>
      <c r="E2" s="1273"/>
      <c r="F2" s="1274"/>
      <c r="G2" s="10"/>
      <c r="H2" s="53"/>
    </row>
    <row r="3" spans="1:8" ht="13.5" thickBot="1">
      <c r="A3" s="54"/>
      <c r="B3" s="55"/>
      <c r="C3" s="55"/>
      <c r="D3" s="55"/>
      <c r="E3" s="55"/>
      <c r="F3" s="55"/>
      <c r="G3" s="55"/>
      <c r="H3" s="56"/>
    </row>
    <row r="4" spans="1:8" ht="13.5" thickBot="1">
      <c r="A4" s="8" t="s">
        <v>51</v>
      </c>
      <c r="B4" s="10"/>
      <c r="C4" s="10"/>
      <c r="D4" s="10"/>
      <c r="E4" s="554"/>
      <c r="F4" s="55"/>
      <c r="G4" s="55"/>
      <c r="H4" s="56"/>
    </row>
    <row r="5" spans="1:11" ht="13.5" thickBot="1">
      <c r="A5" s="8" t="s">
        <v>52</v>
      </c>
      <c r="B5" s="10"/>
      <c r="C5" s="556"/>
      <c r="D5" s="10"/>
      <c r="E5" s="10"/>
      <c r="F5" s="10"/>
      <c r="G5" s="57" t="s">
        <v>53</v>
      </c>
      <c r="H5" s="555"/>
      <c r="K5" s="11" t="s">
        <v>314</v>
      </c>
    </row>
    <row r="6" spans="1:11" ht="13.5" thickBot="1">
      <c r="A6" s="8" t="s">
        <v>54</v>
      </c>
      <c r="B6" s="10"/>
      <c r="C6" s="10"/>
      <c r="D6" s="10"/>
      <c r="E6" s="438">
        <f>FV(C5,H5,0,E4,0)*-1</f>
        <v>0</v>
      </c>
      <c r="F6" s="9"/>
      <c r="G6" s="58"/>
      <c r="H6" s="634"/>
      <c r="K6" s="11" t="s">
        <v>116</v>
      </c>
    </row>
    <row r="7" spans="1:8" ht="13.5" thickBot="1">
      <c r="A7" s="8" t="s">
        <v>55</v>
      </c>
      <c r="B7" s="10"/>
      <c r="C7" s="10"/>
      <c r="D7" s="10"/>
      <c r="E7" s="554"/>
      <c r="F7" s="342"/>
      <c r="G7" s="58"/>
      <c r="H7" s="634"/>
    </row>
    <row r="8" spans="1:8" ht="12.75" customHeight="1" thickBot="1">
      <c r="A8" s="203" t="s">
        <v>797</v>
      </c>
      <c r="B8" s="10"/>
      <c r="C8" s="10"/>
      <c r="D8" s="10"/>
      <c r="E8" s="635"/>
      <c r="F8" s="555"/>
      <c r="G8" s="59"/>
      <c r="H8" s="53"/>
    </row>
    <row r="9" spans="1:8" ht="13.5" thickBot="1">
      <c r="A9" s="8" t="s">
        <v>56</v>
      </c>
      <c r="B9" s="10"/>
      <c r="C9" s="10"/>
      <c r="D9" s="556"/>
      <c r="E9" s="10"/>
      <c r="F9" s="236"/>
      <c r="G9" s="58" t="s">
        <v>57</v>
      </c>
      <c r="H9" s="60">
        <f>IF(E4="","",IF(F8="yes",D9,IF(F8="no",(D9*(1-('Inc Tax Estimator'!$I$19+'Inc Tax Estimator'!$H$37))),"Error")))</f>
      </c>
    </row>
    <row r="10" spans="1:12" ht="12.75">
      <c r="A10" s="8"/>
      <c r="B10" s="10"/>
      <c r="C10" s="10"/>
      <c r="D10" s="636"/>
      <c r="E10" s="10"/>
      <c r="F10" s="236"/>
      <c r="G10" s="58"/>
      <c r="H10" s="453"/>
      <c r="L10" s="616"/>
    </row>
    <row r="11" spans="1:8" ht="13.5" thickBot="1">
      <c r="A11" s="8" t="s">
        <v>58</v>
      </c>
      <c r="B11" s="10"/>
      <c r="C11" s="10"/>
      <c r="D11" s="10"/>
      <c r="E11" s="439">
        <f>IF(AND(F8="",E4&gt;0),"Please enter account tax status using box in F11",IF(H5&gt;0,PMT(H9/12,H5*12,E7*-1,E6)*-1,""))</f>
      </c>
      <c r="F11" s="10"/>
      <c r="G11" s="10"/>
      <c r="H11" s="53"/>
    </row>
    <row r="12" spans="1:8" ht="13.5" thickBot="1">
      <c r="A12" s="61" t="s">
        <v>335</v>
      </c>
      <c r="B12" s="10"/>
      <c r="C12" s="10"/>
      <c r="D12" s="10"/>
      <c r="E12" s="554"/>
      <c r="F12" s="77"/>
      <c r="G12" s="637"/>
      <c r="H12" s="638"/>
    </row>
    <row r="13" spans="1:8" ht="12.75">
      <c r="A13" s="8" t="s">
        <v>59</v>
      </c>
      <c r="B13" s="10"/>
      <c r="C13" s="10"/>
      <c r="D13" s="10"/>
      <c r="E13" s="440">
        <f>IF(H5&gt;0,FV(H9/12,H5*12,E11*-1,E7*-1,0),0)</f>
        <v>0</v>
      </c>
      <c r="F13" s="10"/>
      <c r="G13" s="10"/>
      <c r="H13" s="53"/>
    </row>
    <row r="14" spans="1:8" ht="12.75">
      <c r="A14" s="62" t="s">
        <v>60</v>
      </c>
      <c r="B14" s="10"/>
      <c r="C14" s="10"/>
      <c r="D14" s="10"/>
      <c r="E14" s="441">
        <f>IF(F8="","",FV(H9/12,H5*12,E12*-1,E7*-1,0))</f>
      </c>
      <c r="F14" s="10"/>
      <c r="G14" s="10"/>
      <c r="H14" s="53"/>
    </row>
    <row r="15" spans="1:8" ht="12.75">
      <c r="A15" s="8"/>
      <c r="B15" s="10"/>
      <c r="C15" s="10"/>
      <c r="D15" s="73">
        <f>IF(F8="","",IF(E15&lt;0,"Estimate falls short of goal",""))</f>
      </c>
      <c r="E15" s="442">
        <f>IF(F8="","",E14-E13)</f>
      </c>
      <c r="F15" s="74">
        <f>IF(F8="","",IF(E15&gt;0,"Estimate exceeds goal",""))</f>
      </c>
      <c r="G15" s="10"/>
      <c r="H15" s="53"/>
    </row>
    <row r="16" spans="1:8" ht="12.75" customHeight="1" thickBot="1">
      <c r="A16" s="30"/>
      <c r="B16" s="31"/>
      <c r="C16" s="31"/>
      <c r="D16" s="31"/>
      <c r="E16" s="408"/>
      <c r="F16" s="31"/>
      <c r="G16" s="31"/>
      <c r="H16" s="52"/>
    </row>
    <row r="17" spans="1:8" ht="13.5" thickBot="1">
      <c r="A17" s="66"/>
      <c r="B17" s="67" t="s">
        <v>61</v>
      </c>
      <c r="C17" s="1275"/>
      <c r="D17" s="1276"/>
      <c r="E17" s="1276"/>
      <c r="F17" s="1277"/>
      <c r="G17" s="68"/>
      <c r="H17" s="69"/>
    </row>
    <row r="18" spans="1:8" ht="13.5" thickBot="1">
      <c r="A18" s="54"/>
      <c r="B18" s="55"/>
      <c r="C18" s="55"/>
      <c r="D18" s="55"/>
      <c r="E18" s="55"/>
      <c r="F18" s="55"/>
      <c r="G18" s="55"/>
      <c r="H18" s="56"/>
    </row>
    <row r="19" spans="1:8" ht="13.5" thickBot="1">
      <c r="A19" s="8" t="s">
        <v>51</v>
      </c>
      <c r="B19" s="10"/>
      <c r="C19" s="10"/>
      <c r="D19" s="10"/>
      <c r="E19" s="554"/>
      <c r="F19" s="55"/>
      <c r="G19" s="55"/>
      <c r="H19" s="56"/>
    </row>
    <row r="20" spans="1:8" ht="13.5" thickBot="1">
      <c r="A20" s="8" t="s">
        <v>52</v>
      </c>
      <c r="B20" s="10"/>
      <c r="C20" s="556"/>
      <c r="D20" s="10"/>
      <c r="E20" s="9"/>
      <c r="F20" s="10"/>
      <c r="G20" s="57" t="s">
        <v>53</v>
      </c>
      <c r="H20" s="555"/>
    </row>
    <row r="21" spans="1:8" ht="13.5" thickBot="1">
      <c r="A21" s="8" t="s">
        <v>54</v>
      </c>
      <c r="B21" s="10"/>
      <c r="C21" s="10"/>
      <c r="D21" s="10"/>
      <c r="E21" s="438">
        <f>FV(C20,H20,0,E19,0)*-1</f>
        <v>0</v>
      </c>
      <c r="F21" s="9"/>
      <c r="G21" s="58"/>
      <c r="H21" s="634"/>
    </row>
    <row r="22" spans="1:8" ht="13.5" thickBot="1">
      <c r="A22" s="8" t="s">
        <v>55</v>
      </c>
      <c r="B22" s="10"/>
      <c r="C22" s="10"/>
      <c r="D22" s="10"/>
      <c r="E22" s="554"/>
      <c r="F22" s="342"/>
      <c r="G22" s="58"/>
      <c r="H22" s="634"/>
    </row>
    <row r="23" spans="1:8" ht="12.75" customHeight="1" thickBot="1">
      <c r="A23" s="203" t="s">
        <v>797</v>
      </c>
      <c r="B23" s="10"/>
      <c r="C23" s="10"/>
      <c r="D23" s="10"/>
      <c r="E23" s="635"/>
      <c r="F23" s="640"/>
      <c r="G23" s="59"/>
      <c r="H23" s="53"/>
    </row>
    <row r="24" spans="1:8" ht="13.5" thickBot="1">
      <c r="A24" s="8" t="s">
        <v>56</v>
      </c>
      <c r="B24" s="10"/>
      <c r="C24" s="10"/>
      <c r="D24" s="556"/>
      <c r="E24" s="10"/>
      <c r="F24" s="236"/>
      <c r="G24" s="58" t="s">
        <v>57</v>
      </c>
      <c r="H24" s="60">
        <f>IF(E19="","",IF(F23="yes",D24,IF(F23="no",(D24*(1-('Inc Tax Estimator'!$I$19+'Inc Tax Estimator'!$H$37))),"Error")))</f>
      </c>
    </row>
    <row r="25" spans="1:8" ht="12.75">
      <c r="A25" s="8"/>
      <c r="B25" s="10"/>
      <c r="C25" s="10"/>
      <c r="D25" s="636"/>
      <c r="E25" s="10"/>
      <c r="F25" s="236"/>
      <c r="G25" s="58"/>
      <c r="H25" s="453"/>
    </row>
    <row r="26" spans="1:8" ht="13.5" thickBot="1">
      <c r="A26" s="8" t="s">
        <v>58</v>
      </c>
      <c r="B26" s="10"/>
      <c r="C26" s="10"/>
      <c r="D26" s="10"/>
      <c r="E26" s="439">
        <f>IF(AND(F23="",E19&gt;0),"Please enter account tax status using box in F27",IF(H20&gt;0,PMT(H24/12,H20*12,E22*-1,E21)*-1,""))</f>
      </c>
      <c r="F26" s="10"/>
      <c r="G26" s="10"/>
      <c r="H26" s="53"/>
    </row>
    <row r="27" spans="1:8" ht="13.5" customHeight="1" thickBot="1">
      <c r="A27" s="61" t="s">
        <v>335</v>
      </c>
      <c r="B27" s="10"/>
      <c r="C27" s="10"/>
      <c r="D27" s="10"/>
      <c r="E27" s="554"/>
      <c r="F27" s="77"/>
      <c r="G27" s="639"/>
      <c r="H27" s="638"/>
    </row>
    <row r="28" spans="1:8" ht="12.75">
      <c r="A28" s="8" t="s">
        <v>59</v>
      </c>
      <c r="B28" s="10"/>
      <c r="C28" s="10"/>
      <c r="D28" s="10"/>
      <c r="E28" s="440">
        <f>IF(H20&gt;0,FV(H24/12,H20*12,E26*-1,E22*-1,0),0)</f>
        <v>0</v>
      </c>
      <c r="F28" s="10"/>
      <c r="G28" s="10"/>
      <c r="H28" s="53"/>
    </row>
    <row r="29" spans="1:8" ht="12.75">
      <c r="A29" s="62" t="s">
        <v>60</v>
      </c>
      <c r="B29" s="10"/>
      <c r="C29" s="10"/>
      <c r="D29" s="10"/>
      <c r="E29" s="441">
        <f>IF(F23="","",FV(H24/12,H20*12,E27*-1,E22*-1,0))</f>
      </c>
      <c r="F29" s="10"/>
      <c r="G29" s="10"/>
      <c r="H29" s="53"/>
    </row>
    <row r="30" spans="1:8" ht="12.75">
      <c r="A30" s="8"/>
      <c r="B30" s="10"/>
      <c r="C30" s="10"/>
      <c r="D30" s="73">
        <f>IF(F23="","",IF(E30&lt;0,"Estimate falls short of goal",""))</f>
      </c>
      <c r="E30" s="442">
        <f>IF(F23="","",E29-E28)</f>
      </c>
      <c r="F30" s="74">
        <f>IF(F23="","",IF(E30&gt;0,"Estimate exceeds goal",""))</f>
      </c>
      <c r="G30" s="10"/>
      <c r="H30" s="53"/>
    </row>
    <row r="31" spans="1:8" ht="12.75" customHeight="1" thickBot="1">
      <c r="A31" s="30"/>
      <c r="B31" s="31"/>
      <c r="C31" s="31"/>
      <c r="D31" s="31"/>
      <c r="E31" s="31"/>
      <c r="F31" s="31"/>
      <c r="G31" s="31"/>
      <c r="H31" s="52"/>
    </row>
    <row r="32" spans="1:8" ht="13.5" thickBot="1">
      <c r="A32" s="66"/>
      <c r="B32" s="67" t="s">
        <v>62</v>
      </c>
      <c r="C32" s="1275"/>
      <c r="D32" s="1276"/>
      <c r="E32" s="1276"/>
      <c r="F32" s="1277"/>
      <c r="G32" s="68"/>
      <c r="H32" s="69"/>
    </row>
    <row r="33" spans="1:8" ht="13.5" thickBot="1">
      <c r="A33" s="54"/>
      <c r="B33" s="55"/>
      <c r="C33" s="55"/>
      <c r="D33" s="55"/>
      <c r="E33" s="55"/>
      <c r="F33" s="55"/>
      <c r="G33" s="55"/>
      <c r="H33" s="56"/>
    </row>
    <row r="34" spans="1:8" ht="13.5" thickBot="1">
      <c r="A34" s="8" t="s">
        <v>51</v>
      </c>
      <c r="B34" s="10"/>
      <c r="C34" s="10"/>
      <c r="D34" s="10"/>
      <c r="E34" s="554"/>
      <c r="F34" s="55"/>
      <c r="G34" s="55"/>
      <c r="H34" s="56"/>
    </row>
    <row r="35" spans="1:8" ht="13.5" thickBot="1">
      <c r="A35" s="8" t="s">
        <v>52</v>
      </c>
      <c r="B35" s="10"/>
      <c r="C35" s="556"/>
      <c r="D35" s="10"/>
      <c r="E35" s="10"/>
      <c r="F35" s="10"/>
      <c r="G35" s="57" t="s">
        <v>53</v>
      </c>
      <c r="H35" s="555"/>
    </row>
    <row r="36" spans="1:8" ht="13.5" thickBot="1">
      <c r="A36" s="8" t="s">
        <v>54</v>
      </c>
      <c r="B36" s="10"/>
      <c r="C36" s="10"/>
      <c r="D36" s="10"/>
      <c r="E36" s="438">
        <f>FV(C35,H35,0,E34,0)*-1</f>
        <v>0</v>
      </c>
      <c r="F36" s="9"/>
      <c r="G36" s="58"/>
      <c r="H36" s="634"/>
    </row>
    <row r="37" spans="1:8" ht="13.5" thickBot="1">
      <c r="A37" s="8" t="s">
        <v>55</v>
      </c>
      <c r="B37" s="10"/>
      <c r="C37" s="10"/>
      <c r="D37" s="10"/>
      <c r="E37" s="554"/>
      <c r="F37" s="342"/>
      <c r="G37" s="58"/>
      <c r="H37" s="634"/>
    </row>
    <row r="38" spans="1:8" ht="12.75" customHeight="1" thickBot="1">
      <c r="A38" s="203" t="s">
        <v>797</v>
      </c>
      <c r="B38" s="10"/>
      <c r="C38" s="10"/>
      <c r="D38" s="10"/>
      <c r="E38" s="635"/>
      <c r="F38" s="640"/>
      <c r="G38" s="59"/>
      <c r="H38" s="53"/>
    </row>
    <row r="39" spans="1:8" ht="13.5" thickBot="1">
      <c r="A39" s="8" t="s">
        <v>56</v>
      </c>
      <c r="B39" s="10"/>
      <c r="C39" s="10"/>
      <c r="D39" s="556"/>
      <c r="E39" s="10"/>
      <c r="F39" s="236"/>
      <c r="G39" s="58" t="s">
        <v>57</v>
      </c>
      <c r="H39" s="60">
        <f>IF(E34="","",IF(F38="yes",D39,IF(F38="no",(D39*(1-('Inc Tax Estimator'!$I$19+'Inc Tax Estimator'!$H$37))),"Error")))</f>
      </c>
    </row>
    <row r="40" spans="1:8" ht="12.75">
      <c r="A40" s="8"/>
      <c r="B40" s="10"/>
      <c r="C40" s="10"/>
      <c r="D40" s="636"/>
      <c r="E40" s="10"/>
      <c r="F40" s="236"/>
      <c r="G40" s="58"/>
      <c r="H40" s="453"/>
    </row>
    <row r="41" spans="1:8" ht="13.5" thickBot="1">
      <c r="A41" s="8" t="s">
        <v>58</v>
      </c>
      <c r="B41" s="10"/>
      <c r="C41" s="10"/>
      <c r="D41" s="10"/>
      <c r="E41" s="439">
        <f>IF(AND(F38="",E34&gt;0),"Please enter account tax status using box in F43",IF(H35&gt;0,PMT(H39/12,H35*12,E37*-1,E36)*-1,""))</f>
      </c>
      <c r="F41" s="10"/>
      <c r="G41" s="10"/>
      <c r="H41" s="53"/>
    </row>
    <row r="42" spans="1:8" ht="13.5" customHeight="1" thickBot="1">
      <c r="A42" s="61" t="s">
        <v>335</v>
      </c>
      <c r="B42" s="10"/>
      <c r="C42" s="10"/>
      <c r="D42" s="10"/>
      <c r="E42" s="554"/>
      <c r="F42" s="77"/>
      <c r="G42" s="639"/>
      <c r="H42" s="638"/>
    </row>
    <row r="43" spans="1:8" ht="12.75">
      <c r="A43" s="8" t="s">
        <v>59</v>
      </c>
      <c r="B43" s="10"/>
      <c r="C43" s="10"/>
      <c r="D43" s="10"/>
      <c r="E43" s="440">
        <f>IF(H35&gt;0,FV(H39/12,H35*12,E41*-1,E37*-1,0),0)</f>
        <v>0</v>
      </c>
      <c r="F43" s="10"/>
      <c r="G43" s="10"/>
      <c r="H43" s="53"/>
    </row>
    <row r="44" spans="1:8" ht="12.75">
      <c r="A44" s="62" t="s">
        <v>60</v>
      </c>
      <c r="B44" s="10"/>
      <c r="C44" s="10"/>
      <c r="D44" s="10"/>
      <c r="E44" s="441">
        <f>IF(F38="","",FV(H39/12,H35*12,E42*-1,E37*-1,0))</f>
      </c>
      <c r="F44" s="10"/>
      <c r="G44" s="10"/>
      <c r="H44" s="53"/>
    </row>
    <row r="45" spans="1:8" ht="12.75">
      <c r="A45" s="8"/>
      <c r="B45" s="10"/>
      <c r="C45" s="10"/>
      <c r="D45" s="73">
        <f>IF(F38="","",IF(E45&lt;0,"Estimate falls short of goal",""))</f>
      </c>
      <c r="E45" s="442">
        <f>IF(F38="","",E44-E43)</f>
      </c>
      <c r="F45" s="74">
        <f>IF(F38="","",IF(E45&gt;0,"Estimate exceeds goal",""))</f>
      </c>
      <c r="G45" s="10"/>
      <c r="H45" s="53"/>
    </row>
    <row r="46" spans="1:8" ht="12.75" customHeight="1" thickBot="1">
      <c r="A46" s="30"/>
      <c r="B46" s="31"/>
      <c r="C46" s="31"/>
      <c r="D46" s="32"/>
      <c r="E46" s="63"/>
      <c r="F46" s="64"/>
      <c r="G46" s="31"/>
      <c r="H46" s="52"/>
    </row>
    <row r="47" spans="1:8" ht="13.5" thickBot="1">
      <c r="A47" s="66"/>
      <c r="B47" s="67" t="s">
        <v>63</v>
      </c>
      <c r="C47" s="1275"/>
      <c r="D47" s="1276"/>
      <c r="E47" s="1276"/>
      <c r="F47" s="1277"/>
      <c r="G47" s="68"/>
      <c r="H47" s="69"/>
    </row>
    <row r="48" spans="1:8" ht="13.5" thickBot="1">
      <c r="A48" s="54"/>
      <c r="B48" s="55"/>
      <c r="C48" s="55"/>
      <c r="D48" s="55"/>
      <c r="E48" s="55"/>
      <c r="F48" s="55"/>
      <c r="G48" s="55"/>
      <c r="H48" s="56"/>
    </row>
    <row r="49" spans="1:8" ht="13.5" thickBot="1">
      <c r="A49" s="8" t="s">
        <v>51</v>
      </c>
      <c r="B49" s="10"/>
      <c r="C49" s="10"/>
      <c r="D49" s="10"/>
      <c r="E49" s="554"/>
      <c r="F49" s="55"/>
      <c r="G49" s="55"/>
      <c r="H49" s="56"/>
    </row>
    <row r="50" spans="1:8" ht="13.5" thickBot="1">
      <c r="A50" s="8" t="s">
        <v>52</v>
      </c>
      <c r="B50" s="10"/>
      <c r="C50" s="556"/>
      <c r="D50" s="10"/>
      <c r="E50" s="10"/>
      <c r="F50" s="10"/>
      <c r="G50" s="57" t="s">
        <v>53</v>
      </c>
      <c r="H50" s="555"/>
    </row>
    <row r="51" spans="1:8" ht="13.5" thickBot="1">
      <c r="A51" s="8" t="s">
        <v>54</v>
      </c>
      <c r="B51" s="10"/>
      <c r="C51" s="10"/>
      <c r="D51" s="10"/>
      <c r="E51" s="438">
        <f>FV(C50,H50,0,E49,0)*-1</f>
        <v>0</v>
      </c>
      <c r="F51" s="9"/>
      <c r="G51" s="58"/>
      <c r="H51" s="634"/>
    </row>
    <row r="52" spans="1:8" ht="13.5" thickBot="1">
      <c r="A52" s="8" t="s">
        <v>55</v>
      </c>
      <c r="B52" s="10"/>
      <c r="C52" s="10"/>
      <c r="D52" s="10"/>
      <c r="E52" s="554"/>
      <c r="F52" s="342"/>
      <c r="G52" s="58"/>
      <c r="H52" s="634"/>
    </row>
    <row r="53" spans="1:8" ht="12.75" customHeight="1" thickBot="1">
      <c r="A53" s="203" t="s">
        <v>797</v>
      </c>
      <c r="B53" s="10"/>
      <c r="C53" s="10"/>
      <c r="D53" s="10"/>
      <c r="E53" s="635"/>
      <c r="F53" s="640"/>
      <c r="G53" s="59"/>
      <c r="H53" s="53"/>
    </row>
    <row r="54" spans="1:8" ht="13.5" thickBot="1">
      <c r="A54" s="8" t="s">
        <v>56</v>
      </c>
      <c r="B54" s="10"/>
      <c r="C54" s="10"/>
      <c r="D54" s="556"/>
      <c r="E54" s="10"/>
      <c r="F54" s="236"/>
      <c r="G54" s="58" t="s">
        <v>57</v>
      </c>
      <c r="H54" s="60">
        <f>IF(E49="","",IF(F53="yes",D54,IF(F53="no",(D54*(1-('Inc Tax Estimator'!$I$19+'Inc Tax Estimator'!$H$37))),"Error")))</f>
      </c>
    </row>
    <row r="55" spans="1:8" ht="12.75">
      <c r="A55" s="8"/>
      <c r="B55" s="10"/>
      <c r="C55" s="10"/>
      <c r="D55" s="636"/>
      <c r="E55" s="10"/>
      <c r="F55" s="236"/>
      <c r="G55" s="58"/>
      <c r="H55" s="453"/>
    </row>
    <row r="56" spans="1:8" ht="13.5" thickBot="1">
      <c r="A56" s="8" t="s">
        <v>58</v>
      </c>
      <c r="B56" s="10"/>
      <c r="C56" s="10"/>
      <c r="D56" s="10"/>
      <c r="E56" s="439">
        <f>IF(AND(F53="",E49&gt;0),"Please enter account tax status using box in F60",IF(H50&gt;0,PMT(H54/12,H50*12,E52*-1,E51)*-1,""))</f>
      </c>
      <c r="F56" s="10"/>
      <c r="G56" s="10"/>
      <c r="H56" s="53"/>
    </row>
    <row r="57" spans="1:8" ht="13.5" customHeight="1" thickBot="1">
      <c r="A57" s="61" t="s">
        <v>335</v>
      </c>
      <c r="B57" s="10"/>
      <c r="C57" s="10"/>
      <c r="D57" s="10"/>
      <c r="E57" s="633"/>
      <c r="F57" s="77"/>
      <c r="G57" s="639"/>
      <c r="H57" s="638"/>
    </row>
    <row r="58" spans="1:8" ht="12.75">
      <c r="A58" s="8" t="s">
        <v>59</v>
      </c>
      <c r="B58" s="10"/>
      <c r="C58" s="10"/>
      <c r="D58" s="10"/>
      <c r="E58" s="440">
        <f>IF(H50&gt;0,FV(H54/12,H50*12,E56*-1,E52*-1,0),0)</f>
        <v>0</v>
      </c>
      <c r="F58" s="10"/>
      <c r="G58" s="10"/>
      <c r="H58" s="53"/>
    </row>
    <row r="59" spans="1:8" ht="12.75">
      <c r="A59" s="62" t="s">
        <v>60</v>
      </c>
      <c r="B59" s="10"/>
      <c r="C59" s="10"/>
      <c r="D59" s="10"/>
      <c r="E59" s="441">
        <f>IF(F53="","",FV(H54/12,H50*12,E57*-1,E52*-1,0))</f>
      </c>
      <c r="F59" s="10"/>
      <c r="G59" s="10"/>
      <c r="H59" s="53"/>
    </row>
    <row r="60" spans="1:8" ht="12.75">
      <c r="A60" s="8"/>
      <c r="B60" s="10"/>
      <c r="C60" s="10"/>
      <c r="D60" s="73">
        <f>IF(F53="","",IF(E60&lt;0,"Estimate falls short of goal",""))</f>
      </c>
      <c r="E60" s="442">
        <f>IF(F53="","",E59-E58)</f>
      </c>
      <c r="F60" s="74">
        <f>IF(F53="","",IF(E60&gt;0,"Estimate exceeds goal",""))</f>
      </c>
      <c r="G60" s="10"/>
      <c r="H60" s="53"/>
    </row>
    <row r="61" spans="1:8" ht="12.75" customHeight="1" thickBot="1">
      <c r="A61" s="30"/>
      <c r="B61" s="31"/>
      <c r="C61" s="409"/>
      <c r="D61" s="410"/>
      <c r="E61" s="410"/>
      <c r="F61" s="409"/>
      <c r="G61" s="31"/>
      <c r="H61" s="52"/>
    </row>
    <row r="62" spans="1:8" ht="13.5" thickBot="1">
      <c r="A62" s="8"/>
      <c r="B62" s="22" t="s">
        <v>64</v>
      </c>
      <c r="C62" s="1272"/>
      <c r="D62" s="1273"/>
      <c r="E62" s="1273"/>
      <c r="F62" s="1274"/>
      <c r="G62" s="10"/>
      <c r="H62" s="53"/>
    </row>
    <row r="63" spans="1:8" ht="13.5" thickBot="1">
      <c r="A63" s="54"/>
      <c r="B63" s="55"/>
      <c r="C63" s="55"/>
      <c r="D63" s="55"/>
      <c r="E63" s="55"/>
      <c r="F63" s="55"/>
      <c r="G63" s="55"/>
      <c r="H63" s="56"/>
    </row>
    <row r="64" spans="1:8" ht="13.5" thickBot="1">
      <c r="A64" s="8" t="s">
        <v>51</v>
      </c>
      <c r="B64" s="10"/>
      <c r="C64" s="10"/>
      <c r="D64" s="10"/>
      <c r="E64" s="554"/>
      <c r="F64" s="55"/>
      <c r="G64" s="55"/>
      <c r="H64" s="56"/>
    </row>
    <row r="65" spans="1:8" ht="13.5" thickBot="1">
      <c r="A65" s="8" t="s">
        <v>52</v>
      </c>
      <c r="B65" s="10"/>
      <c r="C65" s="556"/>
      <c r="D65" s="10"/>
      <c r="E65" s="10"/>
      <c r="F65" s="10"/>
      <c r="G65" s="57" t="s">
        <v>53</v>
      </c>
      <c r="H65" s="555"/>
    </row>
    <row r="66" spans="1:8" ht="13.5" thickBot="1">
      <c r="A66" s="8" t="s">
        <v>54</v>
      </c>
      <c r="B66" s="10"/>
      <c r="C66" s="10"/>
      <c r="D66" s="10"/>
      <c r="E66" s="438">
        <f>FV(C65,H65,0,E64,0)*-1</f>
        <v>0</v>
      </c>
      <c r="F66" s="9"/>
      <c r="G66" s="58"/>
      <c r="H66" s="634"/>
    </row>
    <row r="67" spans="1:8" ht="13.5" thickBot="1">
      <c r="A67" s="8" t="s">
        <v>55</v>
      </c>
      <c r="B67" s="10"/>
      <c r="C67" s="10"/>
      <c r="D67" s="10"/>
      <c r="E67" s="554"/>
      <c r="F67" s="342"/>
      <c r="G67" s="58"/>
      <c r="H67" s="634"/>
    </row>
    <row r="68" spans="1:8" ht="12.75" customHeight="1" thickBot="1">
      <c r="A68" s="203" t="s">
        <v>797</v>
      </c>
      <c r="B68" s="10"/>
      <c r="C68" s="10"/>
      <c r="D68" s="10"/>
      <c r="E68" s="635"/>
      <c r="F68" s="640"/>
      <c r="G68" s="59"/>
      <c r="H68" s="53"/>
    </row>
    <row r="69" spans="1:8" ht="13.5" thickBot="1">
      <c r="A69" s="8" t="s">
        <v>56</v>
      </c>
      <c r="B69" s="10"/>
      <c r="C69" s="10"/>
      <c r="D69" s="556"/>
      <c r="E69" s="10"/>
      <c r="F69" s="236"/>
      <c r="G69" s="58" t="s">
        <v>57</v>
      </c>
      <c r="H69" s="60">
        <f>IF(E64="","",IF(F68="yes",D69,IF(F68="no",(D69*(1-('Inc Tax Estimator'!$I$19+'Inc Tax Estimator'!$H$37))),"Error")))</f>
      </c>
    </row>
    <row r="70" spans="1:8" ht="12.75">
      <c r="A70" s="8"/>
      <c r="B70" s="10"/>
      <c r="C70" s="10"/>
      <c r="D70" s="636"/>
      <c r="E70" s="10"/>
      <c r="F70" s="236"/>
      <c r="G70" s="58"/>
      <c r="H70" s="453"/>
    </row>
    <row r="71" spans="1:8" ht="13.5" thickBot="1">
      <c r="A71" s="8" t="s">
        <v>58</v>
      </c>
      <c r="B71" s="10"/>
      <c r="C71" s="10"/>
      <c r="D71" s="10"/>
      <c r="E71" s="439">
        <f>IF(AND(F68="",E64&gt;0),"Please enter account tax status using box in F76",IF(H65&gt;0,PMT(H69/12,H65*12,E67*-1,E66)*-1,""))</f>
      </c>
      <c r="F71" s="10"/>
      <c r="G71" s="10"/>
      <c r="H71" s="53"/>
    </row>
    <row r="72" spans="1:8" ht="13.5" customHeight="1" thickBot="1">
      <c r="A72" s="61" t="s">
        <v>335</v>
      </c>
      <c r="B72" s="10"/>
      <c r="C72" s="10"/>
      <c r="D72" s="10"/>
      <c r="E72" s="554"/>
      <c r="F72" s="77"/>
      <c r="G72" s="639"/>
      <c r="H72" s="638"/>
    </row>
    <row r="73" spans="1:8" ht="12.75">
      <c r="A73" s="8" t="s">
        <v>59</v>
      </c>
      <c r="B73" s="10"/>
      <c r="C73" s="10"/>
      <c r="D73" s="10"/>
      <c r="E73" s="440">
        <f>IF(H65&gt;0,FV(H69/12,H65*12,E71*-1,E67*-1,0),0)</f>
        <v>0</v>
      </c>
      <c r="F73" s="10"/>
      <c r="G73" s="10"/>
      <c r="H73" s="53"/>
    </row>
    <row r="74" spans="1:8" ht="12.75">
      <c r="A74" s="62" t="s">
        <v>60</v>
      </c>
      <c r="B74" s="10"/>
      <c r="C74" s="10"/>
      <c r="D74" s="10"/>
      <c r="E74" s="441">
        <f>IF(F68="","",FV(H69/12,H65*12,E72*-1,E67*-1,0))</f>
      </c>
      <c r="F74" s="10"/>
      <c r="G74" s="10"/>
      <c r="H74" s="53"/>
    </row>
    <row r="75" spans="1:8" ht="12.75">
      <c r="A75" s="8"/>
      <c r="B75" s="10"/>
      <c r="C75" s="10"/>
      <c r="D75" s="73">
        <f>IF(F68="","",IF(E75&lt;0,"Estimate falls short of goal",""))</f>
      </c>
      <c r="E75" s="442">
        <f>IF(F68="","",E74-E73)</f>
      </c>
      <c r="F75" s="74">
        <f>IF(F68="","",IF(E75&gt;0,"Estimate exceeds goal",""))</f>
      </c>
      <c r="G75" s="10"/>
      <c r="H75" s="53"/>
    </row>
    <row r="76" spans="1:8" ht="12.75" customHeight="1" thickBot="1">
      <c r="A76" s="30"/>
      <c r="B76" s="31"/>
      <c r="C76" s="409"/>
      <c r="D76" s="410"/>
      <c r="E76" s="410"/>
      <c r="F76" s="409"/>
      <c r="G76" s="31"/>
      <c r="H76" s="52"/>
    </row>
    <row r="77" spans="1:8" ht="13.5" thickBot="1">
      <c r="A77" s="8"/>
      <c r="B77" s="22" t="s">
        <v>65</v>
      </c>
      <c r="C77" s="1272"/>
      <c r="D77" s="1273"/>
      <c r="E77" s="1273"/>
      <c r="F77" s="1274"/>
      <c r="G77" s="10"/>
      <c r="H77" s="53"/>
    </row>
    <row r="78" spans="1:8" ht="13.5" thickBot="1">
      <c r="A78" s="54"/>
      <c r="B78" s="55"/>
      <c r="C78" s="55"/>
      <c r="D78" s="55"/>
      <c r="E78" s="55"/>
      <c r="F78" s="55"/>
      <c r="G78" s="55"/>
      <c r="H78" s="56"/>
    </row>
    <row r="79" spans="1:8" ht="13.5" thickBot="1">
      <c r="A79" s="8" t="s">
        <v>51</v>
      </c>
      <c r="B79" s="10"/>
      <c r="C79" s="10"/>
      <c r="D79" s="10"/>
      <c r="E79" s="554"/>
      <c r="F79" s="55"/>
      <c r="G79" s="55"/>
      <c r="H79" s="56"/>
    </row>
    <row r="80" spans="1:8" ht="13.5" thickBot="1">
      <c r="A80" s="8" t="s">
        <v>52</v>
      </c>
      <c r="B80" s="10"/>
      <c r="C80" s="556"/>
      <c r="D80" s="10"/>
      <c r="E80" s="10"/>
      <c r="F80" s="10"/>
      <c r="G80" s="57" t="s">
        <v>53</v>
      </c>
      <c r="H80" s="555"/>
    </row>
    <row r="81" spans="1:8" ht="13.5" thickBot="1">
      <c r="A81" s="8" t="s">
        <v>54</v>
      </c>
      <c r="B81" s="10"/>
      <c r="C81" s="10"/>
      <c r="D81" s="10"/>
      <c r="E81" s="438">
        <f>FV(C80,H80,0,E79,0)*-1</f>
        <v>0</v>
      </c>
      <c r="F81" s="9"/>
      <c r="G81" s="58"/>
      <c r="H81" s="634"/>
    </row>
    <row r="82" spans="1:8" ht="13.5" thickBot="1">
      <c r="A82" s="8" t="s">
        <v>55</v>
      </c>
      <c r="B82" s="10"/>
      <c r="C82" s="10"/>
      <c r="D82" s="10"/>
      <c r="E82" s="554"/>
      <c r="F82" s="342"/>
      <c r="G82" s="58"/>
      <c r="H82" s="634"/>
    </row>
    <row r="83" spans="1:8" ht="12.75" customHeight="1" thickBot="1">
      <c r="A83" s="8" t="s">
        <v>797</v>
      </c>
      <c r="B83" s="10"/>
      <c r="C83" s="10"/>
      <c r="D83" s="10"/>
      <c r="E83" s="635"/>
      <c r="F83" s="640"/>
      <c r="G83" s="59"/>
      <c r="H83" s="53"/>
    </row>
    <row r="84" spans="1:8" ht="13.5" thickBot="1">
      <c r="A84" s="8" t="s">
        <v>56</v>
      </c>
      <c r="B84" s="10"/>
      <c r="C84" s="10"/>
      <c r="D84" s="556"/>
      <c r="E84" s="10"/>
      <c r="F84" s="236"/>
      <c r="G84" s="58" t="s">
        <v>57</v>
      </c>
      <c r="H84" s="60">
        <f>IF(E79="","",IF(F83="yes",D84,IF(F83="no",(D84*(1-('Inc Tax Estimator'!$I$19+'Inc Tax Estimator'!$H$37))),"Error")))</f>
      </c>
    </row>
    <row r="85" spans="1:8" ht="12.75">
      <c r="A85" s="8"/>
      <c r="B85" s="10"/>
      <c r="C85" s="10"/>
      <c r="D85" s="636"/>
      <c r="E85" s="10"/>
      <c r="F85" s="236"/>
      <c r="G85" s="58"/>
      <c r="H85" s="453"/>
    </row>
    <row r="86" spans="1:8" ht="13.5" thickBot="1">
      <c r="A86" s="8" t="s">
        <v>58</v>
      </c>
      <c r="B86" s="10"/>
      <c r="C86" s="10"/>
      <c r="D86" s="10"/>
      <c r="E86" s="439">
        <f>IF(AND(F83="",E79&gt;0),"Please enter account tax status using box in F92",IF(H80&gt;0,PMT(H84/12,H80*12,E82*-1,E81)*-1,""))</f>
      </c>
      <c r="F86" s="236"/>
      <c r="G86" s="10"/>
      <c r="H86" s="53"/>
    </row>
    <row r="87" spans="1:8" ht="13.5" customHeight="1" thickBot="1">
      <c r="A87" s="61" t="s">
        <v>335</v>
      </c>
      <c r="B87" s="10"/>
      <c r="C87" s="10"/>
      <c r="D87" s="10"/>
      <c r="E87" s="554"/>
      <c r="F87" s="77"/>
      <c r="G87" s="639"/>
      <c r="H87" s="638"/>
    </row>
    <row r="88" spans="1:8" ht="12.75">
      <c r="A88" s="8" t="s">
        <v>59</v>
      </c>
      <c r="B88" s="10"/>
      <c r="C88" s="10"/>
      <c r="D88" s="10"/>
      <c r="E88" s="440">
        <f>IF(H80&gt;0,FV(H84/12,H80*12,E86*-1,E82*-1,0),0)</f>
        <v>0</v>
      </c>
      <c r="F88" s="10"/>
      <c r="G88" s="10"/>
      <c r="H88" s="53"/>
    </row>
    <row r="89" spans="1:8" ht="12.75">
      <c r="A89" s="62" t="s">
        <v>60</v>
      </c>
      <c r="B89" s="10"/>
      <c r="C89" s="10"/>
      <c r="D89" s="10"/>
      <c r="E89" s="441">
        <f>IF(F83="","",FV(H84/12,H80*12,E87*-1,E82*-1,0))</f>
      </c>
      <c r="F89" s="10"/>
      <c r="G89" s="10"/>
      <c r="H89" s="53"/>
    </row>
    <row r="90" spans="1:8" ht="12.75">
      <c r="A90" s="8"/>
      <c r="B90" s="10"/>
      <c r="C90" s="10"/>
      <c r="D90" s="73">
        <f>IF(F83="","",IF(E90&lt;0,"Estimate falls short of goal",""))</f>
      </c>
      <c r="E90" s="442">
        <f>IF(F83="","",E89-E88)</f>
      </c>
      <c r="F90" s="74">
        <f>IF(F83="","",IF(E90&gt;0,"Estimate exceeds goal",""))</f>
      </c>
      <c r="G90" s="10"/>
      <c r="H90" s="53"/>
    </row>
    <row r="91" spans="1:8" ht="12.75" customHeight="1" thickBot="1">
      <c r="A91" s="30"/>
      <c r="B91" s="31"/>
      <c r="C91" s="31"/>
      <c r="D91" s="31"/>
      <c r="E91" s="31"/>
      <c r="F91" s="31"/>
      <c r="G91" s="31"/>
      <c r="H91" s="52"/>
    </row>
    <row r="92" spans="1:8" ht="12.75" customHeight="1" thickBot="1">
      <c r="A92" s="1269" t="s">
        <v>616</v>
      </c>
      <c r="B92" s="1270"/>
      <c r="C92" s="1270"/>
      <c r="D92" s="1270"/>
      <c r="E92" s="1270"/>
      <c r="F92" s="1270"/>
      <c r="G92" s="1270"/>
      <c r="H92" s="1271"/>
    </row>
    <row r="93" spans="1:8" ht="12.75" customHeight="1">
      <c r="A93" s="1286" t="s">
        <v>66</v>
      </c>
      <c r="B93" s="1287"/>
      <c r="C93" s="1288">
        <f>(IF($H$5&lt;=3,$E$12,0)+IF($H$20&lt;=3,$E$27,0)+IF($H$35&lt;=3,$E$42,0)+IF($H$50&lt;=3,$E$57,0)+IF($H$65&lt;=3,$E$72,0)+IF($H$80&lt;=3,$E$87,0))*12</f>
        <v>0</v>
      </c>
      <c r="D93" s="1289"/>
      <c r="E93" s="1278" t="s">
        <v>798</v>
      </c>
      <c r="F93" s="1278"/>
      <c r="G93" s="1278"/>
      <c r="H93" s="1279"/>
    </row>
    <row r="94" spans="1:8" ht="12.75" customHeight="1">
      <c r="A94" s="1284" t="s">
        <v>67</v>
      </c>
      <c r="B94" s="1285"/>
      <c r="C94" s="1290">
        <f>(IF(AND($H$5&gt;3,H5&lt;7),$E$12,0)+IF(AND($H$20&gt;3,H20&lt;7),$E$27,0)+IF(AND($H$35&gt;3,H35&lt;7),$E$42,0)+IF(AND($H$50&gt;3,H50&lt;7),$E$57,0)+IF(AND($H$65&gt;3,H65&lt;7),$E$72,0)+IF(AND($H$80&gt;3,H80&lt;7),$E$87,0))*12</f>
        <v>0</v>
      </c>
      <c r="D94" s="1291"/>
      <c r="E94" s="1280"/>
      <c r="F94" s="1280"/>
      <c r="G94" s="1280"/>
      <c r="H94" s="1281"/>
    </row>
    <row r="95" spans="1:8" ht="12.75" customHeight="1">
      <c r="A95" s="1284" t="s">
        <v>68</v>
      </c>
      <c r="B95" s="1285"/>
      <c r="C95" s="1290">
        <f>(IF($H$5&gt;=7,$E$12,0)+IF($H$20&gt;=7,$E$27,0)+IF($H$35&gt;=7,$E$42,0)+IF($H$50&gt;=7,$E$57,0)+IF($H$65&gt;=7,$E$72,0)+IF($H$80&gt;=7,$E$87,0))*12</f>
        <v>0</v>
      </c>
      <c r="D95" s="1291"/>
      <c r="E95" s="1280"/>
      <c r="F95" s="1280"/>
      <c r="G95" s="1280"/>
      <c r="H95" s="1281"/>
    </row>
    <row r="96" spans="1:8" ht="13.5" thickBot="1">
      <c r="A96" s="30"/>
      <c r="B96" s="31"/>
      <c r="C96" s="411"/>
      <c r="D96" s="412"/>
      <c r="E96" s="1282"/>
      <c r="F96" s="1282"/>
      <c r="G96" s="1282"/>
      <c r="H96" s="1283"/>
    </row>
  </sheetData>
  <sheetProtection selectLockedCells="1"/>
  <mergeCells count="15">
    <mergeCell ref="E93:H96"/>
    <mergeCell ref="A95:B95"/>
    <mergeCell ref="A94:B94"/>
    <mergeCell ref="A93:B93"/>
    <mergeCell ref="C93:D93"/>
    <mergeCell ref="C94:D94"/>
    <mergeCell ref="C95:D95"/>
    <mergeCell ref="A92:H92"/>
    <mergeCell ref="A1:H1"/>
    <mergeCell ref="C2:F2"/>
    <mergeCell ref="C17:F17"/>
    <mergeCell ref="C62:F62"/>
    <mergeCell ref="C77:F77"/>
    <mergeCell ref="C32:F32"/>
    <mergeCell ref="C47:F47"/>
  </mergeCells>
  <conditionalFormatting sqref="H84 H69 H54 H39 H24 H9">
    <cfRule type="cellIs" priority="1" dxfId="10" operator="equal" stopIfTrue="1">
      <formula>"Error"</formula>
    </cfRule>
  </conditionalFormatting>
  <dataValidations count="1">
    <dataValidation type="list" allowBlank="1" showInputMessage="1" showErrorMessage="1" sqref="F83 F68 F53 F38 F23 F8">
      <formula1>$K$4:$K$6</formula1>
    </dataValidation>
  </dataValidations>
  <printOptions horizontalCentered="1"/>
  <pageMargins left="0.75" right="0.75" top="0.75" bottom="0.65" header="0.5" footer="0.5"/>
  <pageSetup horizontalDpi="300" verticalDpi="300" orientation="portrait" r:id="rId3"/>
  <headerFooter alignWithMargins="0">
    <oddFooter>&amp;LGoal Cost Estimator&amp;R&amp;P</oddFooter>
  </headerFooter>
  <rowBreaks count="1" manualBreakCount="1">
    <brk id="46" max="255" man="1"/>
  </rowBreaks>
  <legacyDrawing r:id="rId2"/>
</worksheet>
</file>

<file path=xl/worksheets/sheet5.xml><?xml version="1.0" encoding="utf-8"?>
<worksheet xmlns="http://schemas.openxmlformats.org/spreadsheetml/2006/main" xmlns:r="http://schemas.openxmlformats.org/officeDocument/2006/relationships">
  <sheetPr codeName="Sheet3">
    <tabColor indexed="20"/>
  </sheetPr>
  <dimension ref="A1:H74"/>
  <sheetViews>
    <sheetView zoomScalePageLayoutView="0" workbookViewId="0" topLeftCell="A1">
      <selection activeCell="E8" sqref="E8"/>
    </sheetView>
  </sheetViews>
  <sheetFormatPr defaultColWidth="9.140625" defaultRowHeight="12.75"/>
  <cols>
    <col min="1" max="1" width="3.7109375" style="11" customWidth="1"/>
    <col min="2" max="3" width="6.7109375" style="11" customWidth="1"/>
    <col min="4" max="4" width="33.7109375" style="11" customWidth="1"/>
    <col min="5" max="6" width="11.7109375" style="11" customWidth="1"/>
    <col min="7" max="7" width="11.7109375" style="239" customWidth="1"/>
    <col min="8" max="8" width="3.7109375" style="11" customWidth="1"/>
    <col min="9" max="16384" width="9.140625" style="11" customWidth="1"/>
  </cols>
  <sheetData>
    <row r="1" spans="1:8" ht="13.5" thickBot="1">
      <c r="A1" s="1253" t="s">
        <v>686</v>
      </c>
      <c r="B1" s="1254"/>
      <c r="C1" s="1254"/>
      <c r="D1" s="1254"/>
      <c r="E1" s="1254"/>
      <c r="F1" s="1254"/>
      <c r="G1" s="1254"/>
      <c r="H1" s="1255"/>
    </row>
    <row r="2" spans="1:8" ht="13.5" thickBot="1">
      <c r="A2" s="1240">
        <f>'Client Info'!E2</f>
        <v>2010</v>
      </c>
      <c r="B2" s="1241"/>
      <c r="C2" s="1241"/>
      <c r="D2" s="1241"/>
      <c r="E2" s="1241"/>
      <c r="F2" s="1241"/>
      <c r="G2" s="1241"/>
      <c r="H2" s="1242"/>
    </row>
    <row r="3" spans="1:8" ht="13.5" thickBot="1">
      <c r="A3" s="348"/>
      <c r="B3" s="23" t="s">
        <v>756</v>
      </c>
      <c r="C3" s="23"/>
      <c r="D3" s="23"/>
      <c r="E3" s="23"/>
      <c r="F3" s="24"/>
      <c r="G3" s="345">
        <f>'Dedicated Exp'!H21</f>
        <v>0</v>
      </c>
      <c r="H3" s="348"/>
    </row>
    <row r="4" spans="1:8" ht="14.25" thickBot="1" thickTop="1">
      <c r="A4" s="349"/>
      <c r="B4" s="352" t="s">
        <v>755</v>
      </c>
      <c r="C4" s="26"/>
      <c r="D4" s="26"/>
      <c r="E4" s="26"/>
      <c r="F4" s="26"/>
      <c r="G4" s="346">
        <f>'Dedicated Exp'!H52</f>
        <v>0</v>
      </c>
      <c r="H4" s="349"/>
    </row>
    <row r="5" spans="1:8" ht="13.5" thickTop="1">
      <c r="A5" s="353"/>
      <c r="B5" s="21"/>
      <c r="C5" s="21"/>
      <c r="D5" s="21"/>
      <c r="E5" s="55" t="s">
        <v>219</v>
      </c>
      <c r="F5" s="55" t="s">
        <v>220</v>
      </c>
      <c r="G5" s="269" t="s">
        <v>216</v>
      </c>
      <c r="H5" s="350"/>
    </row>
    <row r="6" spans="1:8" ht="13.5" thickBot="1">
      <c r="A6" s="349"/>
      <c r="B6" s="80" t="s">
        <v>40</v>
      </c>
      <c r="C6" s="10"/>
      <c r="D6" s="10"/>
      <c r="E6" s="1292" t="s">
        <v>279</v>
      </c>
      <c r="F6" s="1292"/>
      <c r="G6" s="240"/>
      <c r="H6" s="349"/>
    </row>
    <row r="7" spans="1:8" ht="13.5" thickBot="1">
      <c r="A7" s="353"/>
      <c r="B7" s="80" t="s">
        <v>252</v>
      </c>
      <c r="C7" s="10"/>
      <c r="D7" s="10"/>
      <c r="E7" s="1293"/>
      <c r="F7" s="1293"/>
      <c r="G7" s="347">
        <f>SUM(E8:F10)</f>
        <v>0</v>
      </c>
      <c r="H7" s="351"/>
    </row>
    <row r="8" spans="1:8" ht="12.75">
      <c r="A8" s="349"/>
      <c r="B8" s="10"/>
      <c r="C8" s="10" t="s">
        <v>42</v>
      </c>
      <c r="D8" s="10"/>
      <c r="E8" s="552"/>
      <c r="F8" s="552"/>
      <c r="G8" s="641" t="s">
        <v>35</v>
      </c>
      <c r="H8" s="349"/>
    </row>
    <row r="9" spans="1:8" ht="12.75">
      <c r="A9" s="349"/>
      <c r="B9" s="10"/>
      <c r="C9" s="10" t="s">
        <v>258</v>
      </c>
      <c r="D9" s="10"/>
      <c r="E9" s="550"/>
      <c r="F9" s="550"/>
      <c r="G9" s="241"/>
      <c r="H9" s="349"/>
    </row>
    <row r="10" spans="1:8" ht="13.5" thickBot="1">
      <c r="A10" s="349"/>
      <c r="B10" s="10"/>
      <c r="C10" s="10" t="s">
        <v>657</v>
      </c>
      <c r="D10" s="10"/>
      <c r="E10" s="551"/>
      <c r="F10" s="551"/>
      <c r="G10" s="241"/>
      <c r="H10" s="349"/>
    </row>
    <row r="11" spans="1:8" ht="13.5" thickBot="1">
      <c r="A11" s="353"/>
      <c r="B11" s="80" t="s">
        <v>253</v>
      </c>
      <c r="C11" s="10"/>
      <c r="D11" s="10"/>
      <c r="E11" s="14"/>
      <c r="F11" s="14"/>
      <c r="G11" s="347">
        <f>SUM(E12:F15)</f>
        <v>0</v>
      </c>
      <c r="H11" s="351"/>
    </row>
    <row r="12" spans="1:8" ht="12.75">
      <c r="A12" s="354"/>
      <c r="B12" s="10"/>
      <c r="C12" s="10" t="s">
        <v>48</v>
      </c>
      <c r="D12" s="10"/>
      <c r="E12" s="552"/>
      <c r="F12" s="552"/>
      <c r="G12" s="641" t="s">
        <v>35</v>
      </c>
      <c r="H12" s="351"/>
    </row>
    <row r="13" spans="1:8" ht="12.75">
      <c r="A13" s="349"/>
      <c r="B13" s="10"/>
      <c r="C13" s="10" t="s">
        <v>270</v>
      </c>
      <c r="D13" s="10"/>
      <c r="E13" s="550"/>
      <c r="F13" s="550"/>
      <c r="G13" s="241"/>
      <c r="H13" s="349"/>
    </row>
    <row r="14" spans="1:8" ht="12.75">
      <c r="A14" s="349"/>
      <c r="B14" s="10"/>
      <c r="C14" s="10" t="s">
        <v>799</v>
      </c>
      <c r="D14" s="10"/>
      <c r="E14" s="550"/>
      <c r="F14" s="550"/>
      <c r="G14" s="241"/>
      <c r="H14" s="349"/>
    </row>
    <row r="15" spans="1:8" ht="13.5" thickBot="1">
      <c r="A15" s="353"/>
      <c r="B15" s="10"/>
      <c r="C15" s="89" t="s">
        <v>800</v>
      </c>
      <c r="D15" s="10"/>
      <c r="E15" s="551"/>
      <c r="F15" s="551"/>
      <c r="G15" s="238"/>
      <c r="H15" s="349"/>
    </row>
    <row r="16" spans="1:8" ht="13.5" thickBot="1">
      <c r="A16" s="353"/>
      <c r="B16" s="80" t="s">
        <v>254</v>
      </c>
      <c r="C16" s="10"/>
      <c r="D16" s="10"/>
      <c r="E16" s="14"/>
      <c r="F16" s="14"/>
      <c r="G16" s="347">
        <f>E17+F17+SUM(E19:F23)</f>
        <v>0</v>
      </c>
      <c r="H16" s="351"/>
    </row>
    <row r="17" spans="1:8" ht="13.5" thickBot="1">
      <c r="A17" s="349"/>
      <c r="B17" s="10"/>
      <c r="C17" s="10" t="s">
        <v>41</v>
      </c>
      <c r="D17" s="10"/>
      <c r="E17" s="549"/>
      <c r="F17" s="549"/>
      <c r="G17" s="641" t="s">
        <v>35</v>
      </c>
      <c r="H17" s="349"/>
    </row>
    <row r="18" spans="1:8" ht="13.5" thickBot="1">
      <c r="A18" s="349"/>
      <c r="B18" s="10"/>
      <c r="C18" s="9" t="s">
        <v>265</v>
      </c>
      <c r="D18" s="10"/>
      <c r="E18" s="443"/>
      <c r="F18" s="443"/>
      <c r="G18" s="241"/>
      <c r="H18" s="349"/>
    </row>
    <row r="19" spans="1:8" ht="12.75">
      <c r="A19" s="349"/>
      <c r="B19" s="10"/>
      <c r="C19" s="10"/>
      <c r="D19" s="16" t="s">
        <v>39</v>
      </c>
      <c r="E19" s="552"/>
      <c r="F19" s="552"/>
      <c r="G19" s="238"/>
      <c r="H19" s="349"/>
    </row>
    <row r="20" spans="1:8" ht="12.75">
      <c r="A20" s="349"/>
      <c r="B20" s="10"/>
      <c r="C20" s="10"/>
      <c r="D20" s="16" t="s">
        <v>266</v>
      </c>
      <c r="E20" s="550"/>
      <c r="F20" s="550"/>
      <c r="G20" s="238"/>
      <c r="H20" s="349"/>
    </row>
    <row r="21" spans="1:8" ht="12.75">
      <c r="A21" s="349"/>
      <c r="B21" s="10"/>
      <c r="C21" s="10"/>
      <c r="D21" s="10" t="s">
        <v>267</v>
      </c>
      <c r="E21" s="550"/>
      <c r="F21" s="550"/>
      <c r="G21" s="238"/>
      <c r="H21" s="349"/>
    </row>
    <row r="22" spans="1:8" ht="12.75">
      <c r="A22" s="349"/>
      <c r="B22" s="10"/>
      <c r="C22" s="10"/>
      <c r="D22" s="10" t="s">
        <v>23</v>
      </c>
      <c r="E22" s="550"/>
      <c r="F22" s="550"/>
      <c r="G22" s="238"/>
      <c r="H22" s="349"/>
    </row>
    <row r="23" spans="1:8" ht="13.5" thickBot="1">
      <c r="A23" s="349"/>
      <c r="B23" s="10"/>
      <c r="C23" s="9" t="s">
        <v>264</v>
      </c>
      <c r="D23" s="10"/>
      <c r="E23" s="551"/>
      <c r="F23" s="551"/>
      <c r="G23" s="238"/>
      <c r="H23" s="349"/>
    </row>
    <row r="24" spans="1:8" ht="13.5" thickBot="1">
      <c r="A24" s="349"/>
      <c r="B24" s="80" t="s">
        <v>16</v>
      </c>
      <c r="C24" s="10"/>
      <c r="D24" s="10"/>
      <c r="E24" s="14"/>
      <c r="F24" s="14"/>
      <c r="G24" s="347">
        <f>SUM(E25:F26)</f>
        <v>0</v>
      </c>
      <c r="H24" s="351"/>
    </row>
    <row r="25" spans="1:8" ht="12.75">
      <c r="A25" s="349"/>
      <c r="B25" s="10"/>
      <c r="C25" s="10" t="s">
        <v>263</v>
      </c>
      <c r="D25" s="10"/>
      <c r="E25" s="552"/>
      <c r="F25" s="552"/>
      <c r="G25" s="641" t="s">
        <v>35</v>
      </c>
      <c r="H25" s="349"/>
    </row>
    <row r="26" spans="1:8" ht="13.5" thickBot="1">
      <c r="A26" s="349"/>
      <c r="B26" s="10"/>
      <c r="C26" s="10" t="s">
        <v>38</v>
      </c>
      <c r="D26" s="10"/>
      <c r="E26" s="551"/>
      <c r="F26" s="551"/>
      <c r="G26" s="238"/>
      <c r="H26" s="349"/>
    </row>
    <row r="27" spans="1:8" ht="13.5" thickBot="1">
      <c r="A27" s="353"/>
      <c r="B27" s="80" t="s">
        <v>255</v>
      </c>
      <c r="C27" s="10"/>
      <c r="D27" s="10"/>
      <c r="E27" s="14"/>
      <c r="F27" s="14"/>
      <c r="G27" s="347">
        <f>SUM(E28:F31)</f>
        <v>0</v>
      </c>
      <c r="H27" s="351"/>
    </row>
    <row r="28" spans="1:8" ht="12.75">
      <c r="A28" s="349"/>
      <c r="B28" s="10"/>
      <c r="C28" s="89" t="s">
        <v>13</v>
      </c>
      <c r="D28" s="10"/>
      <c r="E28" s="552"/>
      <c r="F28" s="552"/>
      <c r="G28" s="641" t="s">
        <v>35</v>
      </c>
      <c r="H28" s="349"/>
    </row>
    <row r="29" spans="1:8" ht="12.75">
      <c r="A29" s="349"/>
      <c r="B29" s="10"/>
      <c r="C29" s="237" t="s">
        <v>658</v>
      </c>
      <c r="D29" s="10"/>
      <c r="E29" s="550"/>
      <c r="F29" s="550"/>
      <c r="G29" s="238"/>
      <c r="H29" s="349"/>
    </row>
    <row r="30" spans="1:8" ht="12.75">
      <c r="A30" s="349"/>
      <c r="B30" s="10"/>
      <c r="C30" s="10" t="s">
        <v>259</v>
      </c>
      <c r="D30" s="10"/>
      <c r="E30" s="550"/>
      <c r="F30" s="550"/>
      <c r="G30" s="241"/>
      <c r="H30" s="349"/>
    </row>
    <row r="31" spans="1:8" ht="13.5" thickBot="1">
      <c r="A31" s="354"/>
      <c r="B31" s="10"/>
      <c r="C31" s="10" t="s">
        <v>272</v>
      </c>
      <c r="D31" s="10"/>
      <c r="E31" s="551"/>
      <c r="F31" s="551"/>
      <c r="G31" s="238"/>
      <c r="H31" s="349"/>
    </row>
    <row r="32" spans="1:8" ht="13.5" thickBot="1">
      <c r="A32" s="353"/>
      <c r="B32" s="80" t="s">
        <v>261</v>
      </c>
      <c r="C32" s="10"/>
      <c r="D32" s="10"/>
      <c r="E32" s="14"/>
      <c r="F32" s="14"/>
      <c r="G32" s="347">
        <f>SUM(E33:F40)</f>
        <v>0</v>
      </c>
      <c r="H32" s="351"/>
    </row>
    <row r="33" spans="1:8" ht="12.75">
      <c r="A33" s="349"/>
      <c r="B33" s="10"/>
      <c r="C33" s="10" t="s">
        <v>21</v>
      </c>
      <c r="D33" s="10"/>
      <c r="E33" s="552"/>
      <c r="F33" s="552"/>
      <c r="G33" s="641" t="s">
        <v>35</v>
      </c>
      <c r="H33" s="349"/>
    </row>
    <row r="34" spans="1:8" ht="12.75">
      <c r="A34" s="349"/>
      <c r="B34" s="10"/>
      <c r="C34" s="10" t="s">
        <v>22</v>
      </c>
      <c r="D34" s="10"/>
      <c r="E34" s="550"/>
      <c r="F34" s="550"/>
      <c r="G34" s="241"/>
      <c r="H34" s="349"/>
    </row>
    <row r="35" spans="1:8" ht="12.75">
      <c r="A35" s="349"/>
      <c r="B35" s="10"/>
      <c r="C35" s="10" t="s">
        <v>271</v>
      </c>
      <c r="D35" s="10"/>
      <c r="E35" s="550"/>
      <c r="F35" s="550"/>
      <c r="G35" s="241"/>
      <c r="H35" s="349"/>
    </row>
    <row r="36" spans="1:8" ht="12.75">
      <c r="A36" s="349"/>
      <c r="B36" s="10"/>
      <c r="C36" s="10" t="s">
        <v>24</v>
      </c>
      <c r="D36" s="10"/>
      <c r="E36" s="550"/>
      <c r="F36" s="550"/>
      <c r="G36" s="241"/>
      <c r="H36" s="349"/>
    </row>
    <row r="37" spans="1:8" ht="12.75">
      <c r="A37" s="349"/>
      <c r="B37" s="10"/>
      <c r="C37" s="9" t="s">
        <v>262</v>
      </c>
      <c r="D37" s="10"/>
      <c r="E37" s="550"/>
      <c r="F37" s="550"/>
      <c r="G37" s="241"/>
      <c r="H37" s="349"/>
    </row>
    <row r="38" spans="1:8" ht="12.75">
      <c r="A38" s="349"/>
      <c r="B38" s="10"/>
      <c r="C38" s="10" t="s">
        <v>29</v>
      </c>
      <c r="D38" s="10"/>
      <c r="E38" s="550"/>
      <c r="F38" s="550"/>
      <c r="G38" s="241"/>
      <c r="H38" s="349"/>
    </row>
    <row r="39" spans="1:8" ht="12.75">
      <c r="A39" s="349"/>
      <c r="B39" s="10"/>
      <c r="C39" s="10" t="s">
        <v>20</v>
      </c>
      <c r="D39" s="10"/>
      <c r="E39" s="550"/>
      <c r="F39" s="550"/>
      <c r="G39" s="241"/>
      <c r="H39" s="349"/>
    </row>
    <row r="40" spans="1:8" ht="13.5" thickBot="1">
      <c r="A40" s="349"/>
      <c r="B40" s="10"/>
      <c r="C40" s="9" t="s">
        <v>659</v>
      </c>
      <c r="D40" s="10"/>
      <c r="E40" s="551"/>
      <c r="F40" s="551"/>
      <c r="G40" s="241"/>
      <c r="H40" s="349"/>
    </row>
    <row r="41" spans="1:8" ht="13.5" thickBot="1">
      <c r="A41" s="353"/>
      <c r="B41" s="80" t="s">
        <v>256</v>
      </c>
      <c r="C41" s="10"/>
      <c r="D41" s="10"/>
      <c r="E41" s="14"/>
      <c r="F41" s="14"/>
      <c r="G41" s="347">
        <f>SUM(E42:F45)</f>
        <v>0</v>
      </c>
      <c r="H41" s="351"/>
    </row>
    <row r="42" spans="1:8" ht="12.75">
      <c r="A42" s="349"/>
      <c r="B42" s="10"/>
      <c r="C42" s="10" t="s">
        <v>49</v>
      </c>
      <c r="D42" s="10"/>
      <c r="E42" s="552"/>
      <c r="F42" s="552"/>
      <c r="G42" s="641" t="s">
        <v>35</v>
      </c>
      <c r="H42" s="351"/>
    </row>
    <row r="43" spans="1:8" ht="12.75">
      <c r="A43" s="349"/>
      <c r="B43" s="10"/>
      <c r="C43" s="10" t="s">
        <v>17</v>
      </c>
      <c r="D43" s="10"/>
      <c r="E43" s="550"/>
      <c r="F43" s="550"/>
      <c r="G43" s="238"/>
      <c r="H43" s="349"/>
    </row>
    <row r="44" spans="1:8" ht="12.75">
      <c r="A44" s="349"/>
      <c r="B44" s="10"/>
      <c r="C44" s="10" t="s">
        <v>18</v>
      </c>
      <c r="D44" s="10"/>
      <c r="E44" s="550"/>
      <c r="F44" s="550"/>
      <c r="G44" s="238"/>
      <c r="H44" s="349"/>
    </row>
    <row r="45" spans="1:8" ht="13.5" thickBot="1">
      <c r="A45" s="349"/>
      <c r="B45" s="10"/>
      <c r="C45" s="10" t="s">
        <v>19</v>
      </c>
      <c r="D45" s="10"/>
      <c r="E45" s="551"/>
      <c r="F45" s="551"/>
      <c r="G45" s="238"/>
      <c r="H45" s="349"/>
    </row>
    <row r="46" spans="1:8" ht="13.5" thickBot="1">
      <c r="A46" s="353"/>
      <c r="B46" s="80" t="s">
        <v>257</v>
      </c>
      <c r="C46" s="10"/>
      <c r="D46" s="10"/>
      <c r="E46" s="14"/>
      <c r="F46" s="14"/>
      <c r="G46" s="347">
        <f>SUM(E47:F51)</f>
        <v>0</v>
      </c>
      <c r="H46" s="351"/>
    </row>
    <row r="47" spans="1:8" ht="12.75">
      <c r="A47" s="349"/>
      <c r="B47" s="10"/>
      <c r="C47" s="89" t="s">
        <v>801</v>
      </c>
      <c r="D47" s="10"/>
      <c r="E47" s="552"/>
      <c r="F47" s="552"/>
      <c r="G47" s="641" t="s">
        <v>35</v>
      </c>
      <c r="H47" s="349"/>
    </row>
    <row r="48" spans="1:8" ht="12.75">
      <c r="A48" s="353"/>
      <c r="B48" s="80"/>
      <c r="C48" s="237" t="s">
        <v>802</v>
      </c>
      <c r="D48" s="10"/>
      <c r="E48" s="550"/>
      <c r="F48" s="550"/>
      <c r="G48" s="238"/>
      <c r="H48" s="349"/>
    </row>
    <row r="49" spans="1:8" ht="12.75">
      <c r="A49" s="353"/>
      <c r="B49" s="80"/>
      <c r="C49" s="237" t="s">
        <v>260</v>
      </c>
      <c r="D49" s="10"/>
      <c r="E49" s="550"/>
      <c r="F49" s="550"/>
      <c r="G49" s="238"/>
      <c r="H49" s="349"/>
    </row>
    <row r="50" spans="1:8" ht="12.75">
      <c r="A50" s="349"/>
      <c r="B50" s="10"/>
      <c r="C50" s="10" t="s">
        <v>284</v>
      </c>
      <c r="D50" s="10"/>
      <c r="E50" s="550"/>
      <c r="F50" s="550"/>
      <c r="G50" s="238"/>
      <c r="H50" s="349"/>
    </row>
    <row r="51" spans="1:8" ht="13.5" thickBot="1">
      <c r="A51" s="349"/>
      <c r="B51" s="10"/>
      <c r="C51" s="10" t="s">
        <v>14</v>
      </c>
      <c r="D51" s="10"/>
      <c r="E51" s="551"/>
      <c r="F51" s="551"/>
      <c r="G51" s="238"/>
      <c r="H51" s="349"/>
    </row>
    <row r="52" spans="1:8" ht="13.5" thickBot="1">
      <c r="A52" s="355"/>
      <c r="B52" s="31"/>
      <c r="C52" s="31"/>
      <c r="D52" s="31"/>
      <c r="E52" s="444"/>
      <c r="F52" s="444"/>
      <c r="G52" s="243"/>
      <c r="H52" s="246"/>
    </row>
    <row r="53" spans="1:8" ht="13.5" thickBot="1">
      <c r="A53" s="244"/>
      <c r="B53" s="68"/>
      <c r="C53" s="68"/>
      <c r="D53" s="68"/>
      <c r="E53" s="445"/>
      <c r="F53" s="445"/>
      <c r="G53" s="247"/>
      <c r="H53" s="68"/>
    </row>
    <row r="54" spans="1:8" ht="13.5" thickBot="1">
      <c r="A54" s="348"/>
      <c r="B54" s="244" t="s">
        <v>273</v>
      </c>
      <c r="C54" s="68"/>
      <c r="D54" s="68"/>
      <c r="E54" s="446"/>
      <c r="F54" s="446"/>
      <c r="G54" s="347">
        <f>SUM(E55:F59)</f>
        <v>0</v>
      </c>
      <c r="H54" s="360"/>
    </row>
    <row r="55" spans="1:8" ht="12.75">
      <c r="A55" s="349"/>
      <c r="B55" s="10"/>
      <c r="C55" s="10" t="s">
        <v>268</v>
      </c>
      <c r="D55" s="10"/>
      <c r="E55" s="553"/>
      <c r="F55" s="553"/>
      <c r="G55" s="641" t="s">
        <v>35</v>
      </c>
      <c r="H55" s="349"/>
    </row>
    <row r="56" spans="1:8" ht="12.75">
      <c r="A56" s="349"/>
      <c r="B56" s="10"/>
      <c r="C56" s="10" t="s">
        <v>37</v>
      </c>
      <c r="D56" s="10"/>
      <c r="E56" s="550"/>
      <c r="F56" s="550"/>
      <c r="G56" s="238"/>
      <c r="H56" s="349"/>
    </row>
    <row r="57" spans="1:8" ht="12.75">
      <c r="A57" s="349"/>
      <c r="B57" s="10"/>
      <c r="C57" s="10" t="s">
        <v>26</v>
      </c>
      <c r="D57" s="10"/>
      <c r="E57" s="550"/>
      <c r="F57" s="550"/>
      <c r="G57" s="238"/>
      <c r="H57" s="349"/>
    </row>
    <row r="58" spans="1:8" ht="12.75">
      <c r="A58" s="349"/>
      <c r="B58" s="10"/>
      <c r="C58" s="10" t="s">
        <v>27</v>
      </c>
      <c r="D58" s="10"/>
      <c r="E58" s="550"/>
      <c r="F58" s="550"/>
      <c r="G58" s="238"/>
      <c r="H58" s="349"/>
    </row>
    <row r="59" spans="1:8" ht="13.5" thickBot="1">
      <c r="A59" s="349"/>
      <c r="B59" s="10"/>
      <c r="C59" s="9" t="s">
        <v>269</v>
      </c>
      <c r="D59" s="10"/>
      <c r="E59" s="551"/>
      <c r="F59" s="551"/>
      <c r="G59" s="238"/>
      <c r="H59" s="349"/>
    </row>
    <row r="60" spans="1:8" ht="13.5" thickBot="1">
      <c r="A60" s="349"/>
      <c r="B60" s="244" t="s">
        <v>30</v>
      </c>
      <c r="C60" s="68"/>
      <c r="D60" s="68"/>
      <c r="E60" s="445"/>
      <c r="F60" s="445"/>
      <c r="G60" s="357">
        <f>SUM(E61:F70)</f>
        <v>0</v>
      </c>
      <c r="H60" s="351"/>
    </row>
    <row r="61" spans="1:8" ht="12.75">
      <c r="A61" s="349"/>
      <c r="B61" s="10"/>
      <c r="C61" s="10" t="s">
        <v>15</v>
      </c>
      <c r="D61" s="10"/>
      <c r="E61" s="552"/>
      <c r="F61" s="552"/>
      <c r="G61" s="641" t="s">
        <v>35</v>
      </c>
      <c r="H61" s="349"/>
    </row>
    <row r="62" spans="1:8" ht="12.75">
      <c r="A62" s="349"/>
      <c r="B62" s="10"/>
      <c r="C62" s="10" t="s">
        <v>23</v>
      </c>
      <c r="D62" s="10"/>
      <c r="E62" s="550"/>
      <c r="F62" s="550"/>
      <c r="G62" s="238"/>
      <c r="H62" s="349"/>
    </row>
    <row r="63" spans="1:8" ht="12.75">
      <c r="A63" s="349"/>
      <c r="B63" s="10"/>
      <c r="C63" s="10" t="s">
        <v>545</v>
      </c>
      <c r="D63" s="10"/>
      <c r="E63" s="550"/>
      <c r="F63" s="550"/>
      <c r="G63" s="238"/>
      <c r="H63" s="349"/>
    </row>
    <row r="64" spans="1:8" ht="12.75">
      <c r="A64" s="349"/>
      <c r="B64" s="10"/>
      <c r="C64" s="10" t="s">
        <v>25</v>
      </c>
      <c r="D64" s="10"/>
      <c r="E64" s="550"/>
      <c r="F64" s="550"/>
      <c r="G64" s="238"/>
      <c r="H64" s="349"/>
    </row>
    <row r="65" spans="1:8" ht="12.75">
      <c r="A65" s="349"/>
      <c r="B65" s="10"/>
      <c r="C65" s="10" t="s">
        <v>544</v>
      </c>
      <c r="D65" s="10"/>
      <c r="E65" s="550"/>
      <c r="F65" s="550"/>
      <c r="G65" s="241"/>
      <c r="H65" s="349"/>
    </row>
    <row r="66" spans="1:8" ht="12.75">
      <c r="A66" s="349"/>
      <c r="B66" s="10"/>
      <c r="C66" s="9" t="s">
        <v>74</v>
      </c>
      <c r="D66" s="10"/>
      <c r="E66" s="550"/>
      <c r="F66" s="550"/>
      <c r="G66" s="241"/>
      <c r="H66" s="349"/>
    </row>
    <row r="67" spans="1:8" ht="12.75">
      <c r="A67" s="349"/>
      <c r="B67" s="10"/>
      <c r="C67" s="9" t="s">
        <v>73</v>
      </c>
      <c r="D67" s="10"/>
      <c r="E67" s="550"/>
      <c r="F67" s="550"/>
      <c r="G67" s="241"/>
      <c r="H67" s="349"/>
    </row>
    <row r="68" spans="1:8" ht="12.75">
      <c r="A68" s="349"/>
      <c r="B68" s="10"/>
      <c r="C68" s="9" t="s">
        <v>543</v>
      </c>
      <c r="D68" s="10"/>
      <c r="E68" s="550"/>
      <c r="F68" s="550"/>
      <c r="G68" s="241"/>
      <c r="H68" s="349"/>
    </row>
    <row r="69" spans="1:8" ht="12.75">
      <c r="A69" s="349"/>
      <c r="B69" s="10"/>
      <c r="C69" s="10" t="s">
        <v>28</v>
      </c>
      <c r="D69" s="10"/>
      <c r="E69" s="550"/>
      <c r="F69" s="550"/>
      <c r="G69" s="241"/>
      <c r="H69" s="349"/>
    </row>
    <row r="70" spans="1:8" ht="13.5" thickBot="1">
      <c r="A70" s="349"/>
      <c r="B70" s="41"/>
      <c r="C70" s="41" t="s">
        <v>70</v>
      </c>
      <c r="D70" s="41"/>
      <c r="E70" s="643"/>
      <c r="F70" s="643"/>
      <c r="G70" s="642"/>
      <c r="H70" s="349"/>
    </row>
    <row r="71" spans="1:8" ht="14.25" thickBot="1" thickTop="1">
      <c r="A71" s="349"/>
      <c r="B71" s="356" t="s">
        <v>759</v>
      </c>
      <c r="C71" s="31"/>
      <c r="D71" s="31"/>
      <c r="E71" s="444">
        <f>SUM(E8:E70)</f>
        <v>0</v>
      </c>
      <c r="F71" s="444">
        <f>SUM(F8:F70)</f>
        <v>0</v>
      </c>
      <c r="G71" s="358">
        <f>G7+G11+G16+G24+G27+G32+G41+G46+G54+G60</f>
        <v>0</v>
      </c>
      <c r="H71" s="349"/>
    </row>
    <row r="72" spans="1:8" ht="13.5" thickBot="1">
      <c r="A72" s="349"/>
      <c r="B72" s="10"/>
      <c r="C72" s="10"/>
      <c r="D72" s="10"/>
      <c r="E72" s="10"/>
      <c r="F72" s="10"/>
      <c r="G72" s="242"/>
      <c r="H72" s="349"/>
    </row>
    <row r="73" spans="1:8" ht="13.5" thickBot="1">
      <c r="A73" s="349"/>
      <c r="B73" s="10"/>
      <c r="C73" s="10"/>
      <c r="D73" s="10"/>
      <c r="E73" s="10"/>
      <c r="F73" s="245" t="s">
        <v>582</v>
      </c>
      <c r="G73" s="359">
        <f>G3-G4-G71</f>
        <v>0</v>
      </c>
      <c r="H73" s="349"/>
    </row>
    <row r="74" spans="1:8" ht="13.5" thickBot="1">
      <c r="A74" s="246"/>
      <c r="B74" s="31"/>
      <c r="C74" s="31"/>
      <c r="D74" s="31"/>
      <c r="E74" s="31"/>
      <c r="F74" s="31"/>
      <c r="G74" s="32">
        <f>IF(G73&lt;0,"You have overspent your income",IF(G73&gt;0,"Congratulations, you have income remaining for additional savings",""))</f>
      </c>
      <c r="H74" s="246"/>
    </row>
  </sheetData>
  <sheetProtection/>
  <mergeCells count="3">
    <mergeCell ref="A1:H1"/>
    <mergeCell ref="A2:H2"/>
    <mergeCell ref="E6:F7"/>
  </mergeCells>
  <printOptions horizontalCentered="1"/>
  <pageMargins left="0.75" right="0.75" top="0.75" bottom="0.75" header="0.5" footer="0.5"/>
  <pageSetup horizontalDpi="300" verticalDpi="300" orientation="portrait" r:id="rId1"/>
  <headerFooter alignWithMargins="0">
    <oddFooter>&amp;LDiscretionary Expenses&amp;R&amp;P</oddFooter>
  </headerFooter>
  <ignoredErrors>
    <ignoredError sqref="E27 E32 E41 E46 E52:E54 E60" unlockedFormula="1"/>
  </ignoredErrors>
</worksheet>
</file>

<file path=xl/worksheets/sheet6.xml><?xml version="1.0" encoding="utf-8"?>
<worksheet xmlns="http://schemas.openxmlformats.org/spreadsheetml/2006/main" xmlns:r="http://schemas.openxmlformats.org/officeDocument/2006/relationships">
  <sheetPr codeName="Sheet11">
    <tabColor indexed="17"/>
  </sheetPr>
  <dimension ref="A1:U137"/>
  <sheetViews>
    <sheetView zoomScalePageLayoutView="0" workbookViewId="0" topLeftCell="A1">
      <selection activeCell="G6" sqref="G6"/>
    </sheetView>
  </sheetViews>
  <sheetFormatPr defaultColWidth="9.140625" defaultRowHeight="12.75"/>
  <cols>
    <col min="1" max="1" width="3.7109375" style="0" customWidth="1"/>
    <col min="2" max="2" width="6.7109375" style="170" customWidth="1"/>
    <col min="3" max="3" width="30.7109375" style="176" customWidth="1"/>
    <col min="4" max="4" width="2.7109375" style="176" customWidth="1"/>
    <col min="5" max="5" width="12.7109375" style="188" customWidth="1"/>
    <col min="6" max="6" width="2.7109375" style="193" customWidth="1"/>
    <col min="7" max="7" width="12.7109375" style="287" customWidth="1"/>
    <col min="8" max="8" width="2.7109375" style="176" customWidth="1"/>
    <col min="9" max="9" width="12.7109375" style="176" customWidth="1"/>
    <col min="10" max="10" width="2.7109375" style="193" customWidth="1"/>
    <col min="11" max="11" width="8.7109375" style="176" customWidth="1"/>
    <col min="12" max="12" width="2.7109375" style="193" customWidth="1"/>
    <col min="13" max="13" width="12.7109375" style="176" customWidth="1"/>
    <col min="14" max="14" width="3.7109375" style="0" customWidth="1"/>
    <col min="16" max="21" width="0" style="0" hidden="1" customWidth="1"/>
  </cols>
  <sheetData>
    <row r="1" spans="1:14" ht="13.5" thickBot="1">
      <c r="A1" s="1296" t="s">
        <v>670</v>
      </c>
      <c r="B1" s="1297"/>
      <c r="C1" s="1297"/>
      <c r="D1" s="1297"/>
      <c r="E1" s="1297"/>
      <c r="F1" s="1297"/>
      <c r="G1" s="1297"/>
      <c r="H1" s="1297"/>
      <c r="I1" s="1297"/>
      <c r="J1" s="1297"/>
      <c r="K1" s="1297"/>
      <c r="L1" s="1297"/>
      <c r="M1" s="1297"/>
      <c r="N1" s="1298"/>
    </row>
    <row r="2" spans="1:14" ht="13.5" thickBot="1">
      <c r="A2" s="295"/>
      <c r="B2" s="1299">
        <f>'Client Info'!E2</f>
        <v>2010</v>
      </c>
      <c r="C2" s="1300"/>
      <c r="D2" s="1300"/>
      <c r="E2" s="1300"/>
      <c r="F2" s="1300"/>
      <c r="G2" s="1300"/>
      <c r="H2" s="1300"/>
      <c r="I2" s="1300"/>
      <c r="J2" s="1300"/>
      <c r="K2" s="1300"/>
      <c r="L2" s="1300"/>
      <c r="M2" s="1300"/>
      <c r="N2" s="292"/>
    </row>
    <row r="3" spans="1:14" ht="12.75">
      <c r="A3" s="293"/>
      <c r="B3" s="224" t="s">
        <v>312</v>
      </c>
      <c r="C3" s="175"/>
      <c r="D3" s="175"/>
      <c r="E3" s="228"/>
      <c r="F3" s="183"/>
      <c r="G3" s="191"/>
      <c r="H3" s="175"/>
      <c r="I3" s="175"/>
      <c r="J3" s="183"/>
      <c r="K3" s="175"/>
      <c r="L3" s="183"/>
      <c r="M3" s="175"/>
      <c r="N3" s="293"/>
    </row>
    <row r="4" spans="1:14" ht="25.5" customHeight="1">
      <c r="A4" s="293"/>
      <c r="B4" s="150"/>
      <c r="C4" s="195" t="s">
        <v>538</v>
      </c>
      <c r="D4" s="195"/>
      <c r="E4" s="297" t="s">
        <v>635</v>
      </c>
      <c r="F4" s="195"/>
      <c r="G4" s="296" t="s">
        <v>183</v>
      </c>
      <c r="H4" s="195"/>
      <c r="I4" s="195" t="s">
        <v>184</v>
      </c>
      <c r="J4" s="195"/>
      <c r="K4" s="297" t="s">
        <v>299</v>
      </c>
      <c r="L4" s="195"/>
      <c r="M4" s="297"/>
      <c r="N4" s="293"/>
    </row>
    <row r="5" spans="1:14" ht="12.75" customHeight="1" thickBot="1">
      <c r="A5" s="293"/>
      <c r="B5" s="1294" t="s">
        <v>575</v>
      </c>
      <c r="C5" s="1295"/>
      <c r="D5" s="175"/>
      <c r="E5" s="184"/>
      <c r="F5" s="183"/>
      <c r="G5" s="283"/>
      <c r="H5" s="175"/>
      <c r="I5" s="184"/>
      <c r="J5" s="183"/>
      <c r="K5" s="288"/>
      <c r="L5" s="183"/>
      <c r="M5" s="291"/>
      <c r="N5" s="293"/>
    </row>
    <row r="6" spans="1:14" ht="12.75" customHeight="1">
      <c r="A6" s="293"/>
      <c r="B6" s="150"/>
      <c r="C6" s="185" t="s">
        <v>333</v>
      </c>
      <c r="D6" s="175"/>
      <c r="E6" s="299" t="s">
        <v>295</v>
      </c>
      <c r="F6" s="183"/>
      <c r="G6" s="653"/>
      <c r="H6" s="175"/>
      <c r="I6" s="647"/>
      <c r="J6" s="183"/>
      <c r="K6" s="647"/>
      <c r="L6" s="183"/>
      <c r="M6"/>
      <c r="N6" s="293"/>
    </row>
    <row r="7" spans="1:14" ht="12.75" customHeight="1" thickBot="1">
      <c r="A7" s="293"/>
      <c r="B7" s="150"/>
      <c r="C7" s="343" t="s">
        <v>334</v>
      </c>
      <c r="D7" s="175"/>
      <c r="E7" s="455" t="s">
        <v>295</v>
      </c>
      <c r="F7" s="183"/>
      <c r="G7" s="654"/>
      <c r="H7" s="175"/>
      <c r="I7" s="645"/>
      <c r="J7" s="183"/>
      <c r="K7" s="645"/>
      <c r="L7" s="183"/>
      <c r="M7"/>
      <c r="N7" s="293"/>
    </row>
    <row r="8" spans="1:14" ht="12.75" customHeight="1">
      <c r="A8" s="293"/>
      <c r="B8" s="150"/>
      <c r="C8" s="644"/>
      <c r="D8" s="175"/>
      <c r="E8" s="648"/>
      <c r="F8" s="183"/>
      <c r="G8" s="654"/>
      <c r="H8" s="175"/>
      <c r="I8" s="645"/>
      <c r="J8" s="183"/>
      <c r="K8" s="645"/>
      <c r="L8" s="183"/>
      <c r="M8"/>
      <c r="N8" s="293"/>
    </row>
    <row r="9" spans="1:14" ht="12.75" customHeight="1">
      <c r="A9" s="293"/>
      <c r="B9" s="150"/>
      <c r="C9" s="645"/>
      <c r="D9" s="175"/>
      <c r="E9" s="649"/>
      <c r="F9" s="183"/>
      <c r="G9" s="654"/>
      <c r="H9" s="175"/>
      <c r="I9" s="645"/>
      <c r="J9" s="183"/>
      <c r="K9" s="645"/>
      <c r="L9" s="183"/>
      <c r="M9"/>
      <c r="N9" s="293"/>
    </row>
    <row r="10" spans="1:14" ht="12.75" customHeight="1" thickBot="1">
      <c r="A10" s="293"/>
      <c r="B10" s="150"/>
      <c r="C10" s="646"/>
      <c r="D10" s="175"/>
      <c r="E10" s="650"/>
      <c r="F10" s="183"/>
      <c r="G10" s="655"/>
      <c r="H10" s="175"/>
      <c r="I10" s="646"/>
      <c r="J10" s="183"/>
      <c r="K10" s="646"/>
      <c r="L10" s="183"/>
      <c r="M10"/>
      <c r="N10" s="293"/>
    </row>
    <row r="11" spans="1:14" ht="12.75" customHeight="1">
      <c r="A11" s="293"/>
      <c r="B11" s="1301"/>
      <c r="C11" s="1302"/>
      <c r="D11" s="180"/>
      <c r="E11" s="415"/>
      <c r="F11" s="344"/>
      <c r="G11" s="421"/>
      <c r="H11" s="182"/>
      <c r="I11" s="182"/>
      <c r="J11" s="344"/>
      <c r="K11" s="182"/>
      <c r="L11" s="344"/>
      <c r="M11" s="422"/>
      <c r="N11" s="171"/>
    </row>
    <row r="12" spans="1:14" ht="12.75" customHeight="1" thickBot="1">
      <c r="A12" s="293"/>
      <c r="B12" s="224" t="s">
        <v>576</v>
      </c>
      <c r="D12" s="175"/>
      <c r="E12" s="299"/>
      <c r="F12" s="190"/>
      <c r="G12" s="423"/>
      <c r="H12" s="185"/>
      <c r="I12" s="185"/>
      <c r="J12" s="190"/>
      <c r="K12" s="185"/>
      <c r="L12" s="190"/>
      <c r="M12" s="290"/>
      <c r="N12" s="171"/>
    </row>
    <row r="13" spans="1:14" ht="12.75" customHeight="1">
      <c r="A13" s="293"/>
      <c r="B13" s="150"/>
      <c r="C13" s="647"/>
      <c r="D13" s="175"/>
      <c r="E13" s="651"/>
      <c r="F13" s="183"/>
      <c r="G13" s="653"/>
      <c r="H13" s="175"/>
      <c r="I13" s="647"/>
      <c r="J13" s="183"/>
      <c r="K13" s="647"/>
      <c r="L13" s="183"/>
      <c r="M13"/>
      <c r="N13" s="293"/>
    </row>
    <row r="14" spans="1:14" ht="12.75" customHeight="1">
      <c r="A14" s="293"/>
      <c r="B14" s="150"/>
      <c r="C14" s="645"/>
      <c r="D14" s="175"/>
      <c r="E14" s="649"/>
      <c r="F14" s="183"/>
      <c r="G14" s="654"/>
      <c r="H14" s="175"/>
      <c r="I14" s="645"/>
      <c r="J14" s="183"/>
      <c r="K14" s="645"/>
      <c r="L14" s="183"/>
      <c r="M14"/>
      <c r="N14" s="293"/>
    </row>
    <row r="15" spans="1:14" ht="12.75" customHeight="1">
      <c r="A15" s="293"/>
      <c r="B15" s="150"/>
      <c r="C15" s="645"/>
      <c r="D15" s="175"/>
      <c r="E15" s="649"/>
      <c r="F15" s="183"/>
      <c r="G15" s="654"/>
      <c r="H15" s="175"/>
      <c r="I15" s="645"/>
      <c r="J15" s="183"/>
      <c r="K15" s="645"/>
      <c r="L15" s="183"/>
      <c r="M15"/>
      <c r="N15" s="293"/>
    </row>
    <row r="16" spans="1:14" ht="12.75" customHeight="1">
      <c r="A16" s="293"/>
      <c r="B16" s="150"/>
      <c r="C16" s="645"/>
      <c r="D16" s="175"/>
      <c r="E16" s="652"/>
      <c r="F16" s="183"/>
      <c r="G16" s="654"/>
      <c r="H16" s="175"/>
      <c r="I16" s="656"/>
      <c r="J16" s="183"/>
      <c r="K16" s="645"/>
      <c r="L16" s="183"/>
      <c r="M16"/>
      <c r="N16" s="293"/>
    </row>
    <row r="17" spans="1:14" ht="12.75" customHeight="1">
      <c r="A17" s="293"/>
      <c r="B17" s="150"/>
      <c r="C17" s="645"/>
      <c r="D17" s="175"/>
      <c r="E17" s="649"/>
      <c r="F17" s="183"/>
      <c r="G17" s="654"/>
      <c r="H17" s="175"/>
      <c r="I17" s="656"/>
      <c r="J17" s="183"/>
      <c r="K17" s="645"/>
      <c r="L17" s="183"/>
      <c r="M17"/>
      <c r="N17" s="293"/>
    </row>
    <row r="18" spans="1:14" ht="12.75" customHeight="1">
      <c r="A18" s="293"/>
      <c r="B18" s="150"/>
      <c r="C18" s="645"/>
      <c r="D18" s="175"/>
      <c r="E18" s="652"/>
      <c r="F18" s="183"/>
      <c r="G18" s="654"/>
      <c r="H18" s="175"/>
      <c r="I18" s="656"/>
      <c r="J18" s="183"/>
      <c r="K18" s="645"/>
      <c r="L18" s="183"/>
      <c r="M18"/>
      <c r="N18" s="293"/>
    </row>
    <row r="19" spans="1:14" ht="12.75" customHeight="1" thickBot="1">
      <c r="A19" s="293"/>
      <c r="B19" s="150"/>
      <c r="C19" s="646"/>
      <c r="D19" s="175"/>
      <c r="E19" s="650"/>
      <c r="F19" s="183"/>
      <c r="G19" s="655"/>
      <c r="H19" s="175"/>
      <c r="I19" s="646"/>
      <c r="J19" s="183"/>
      <c r="K19" s="646"/>
      <c r="L19" s="183"/>
      <c r="M19"/>
      <c r="N19" s="293"/>
    </row>
    <row r="20" spans="1:14" ht="12.75" customHeight="1">
      <c r="A20" s="293"/>
      <c r="B20" s="420"/>
      <c r="C20" s="182"/>
      <c r="D20" s="182"/>
      <c r="E20" s="415"/>
      <c r="F20" s="344"/>
      <c r="G20" s="421"/>
      <c r="H20" s="182"/>
      <c r="I20" s="182"/>
      <c r="J20" s="344"/>
      <c r="K20" s="182"/>
      <c r="L20" s="344"/>
      <c r="M20" s="422"/>
      <c r="N20" s="293"/>
    </row>
    <row r="21" spans="1:14" s="170" customFormat="1" ht="12.75" customHeight="1" thickBot="1">
      <c r="A21" s="293"/>
      <c r="B21" s="1294" t="s">
        <v>315</v>
      </c>
      <c r="C21" s="1295"/>
      <c r="D21" s="175"/>
      <c r="E21" s="228"/>
      <c r="F21" s="183"/>
      <c r="G21" s="191"/>
      <c r="H21" s="175"/>
      <c r="I21" s="175"/>
      <c r="J21" s="183"/>
      <c r="K21" s="175"/>
      <c r="L21" s="183"/>
      <c r="M21" s="290"/>
      <c r="N21" s="293"/>
    </row>
    <row r="22" spans="1:14" ht="12.75" customHeight="1">
      <c r="A22" s="293"/>
      <c r="B22" s="150"/>
      <c r="C22" s="647"/>
      <c r="D22" s="175"/>
      <c r="E22" s="651"/>
      <c r="F22" s="183"/>
      <c r="G22" s="653"/>
      <c r="H22" s="175"/>
      <c r="I22" s="647"/>
      <c r="J22" s="183"/>
      <c r="K22" s="647"/>
      <c r="L22" s="183"/>
      <c r="M22" s="647"/>
      <c r="N22" s="293"/>
    </row>
    <row r="23" spans="1:14" ht="12.75" customHeight="1">
      <c r="A23" s="293"/>
      <c r="B23" s="150"/>
      <c r="C23" s="645"/>
      <c r="D23" s="175"/>
      <c r="E23" s="649"/>
      <c r="F23" s="183"/>
      <c r="G23" s="654"/>
      <c r="H23" s="175"/>
      <c r="I23" s="645"/>
      <c r="J23" s="183"/>
      <c r="K23" s="645"/>
      <c r="L23" s="183"/>
      <c r="M23" s="645"/>
      <c r="N23" s="293"/>
    </row>
    <row r="24" spans="1:14" ht="12.75" customHeight="1">
      <c r="A24" s="293"/>
      <c r="B24" s="150"/>
      <c r="C24" s="645"/>
      <c r="D24" s="175"/>
      <c r="E24" s="649"/>
      <c r="F24" s="183"/>
      <c r="G24" s="654"/>
      <c r="H24" s="175"/>
      <c r="I24" s="645"/>
      <c r="J24" s="183"/>
      <c r="K24" s="645"/>
      <c r="L24" s="183"/>
      <c r="M24" s="645"/>
      <c r="N24" s="293"/>
    </row>
    <row r="25" spans="1:14" ht="12.75" customHeight="1">
      <c r="A25" s="293"/>
      <c r="B25" s="150"/>
      <c r="C25" s="645"/>
      <c r="D25" s="175"/>
      <c r="E25" s="649"/>
      <c r="F25" s="183"/>
      <c r="G25" s="654"/>
      <c r="H25" s="175"/>
      <c r="I25" s="645"/>
      <c r="J25" s="183"/>
      <c r="K25" s="645"/>
      <c r="L25" s="183"/>
      <c r="M25" s="645"/>
      <c r="N25" s="293"/>
    </row>
    <row r="26" spans="1:14" ht="12.75" customHeight="1">
      <c r="A26" s="293"/>
      <c r="B26" s="150"/>
      <c r="C26" s="645"/>
      <c r="D26" s="175"/>
      <c r="E26" s="649"/>
      <c r="F26" s="183"/>
      <c r="G26" s="654"/>
      <c r="H26" s="175"/>
      <c r="I26" s="645"/>
      <c r="J26" s="183"/>
      <c r="K26" s="645"/>
      <c r="L26" s="183"/>
      <c r="M26" s="645"/>
      <c r="N26" s="293"/>
    </row>
    <row r="27" spans="1:14" ht="12.75" customHeight="1">
      <c r="A27" s="293"/>
      <c r="B27" s="150"/>
      <c r="C27" s="645"/>
      <c r="D27" s="175"/>
      <c r="E27" s="649"/>
      <c r="F27" s="183"/>
      <c r="G27" s="654"/>
      <c r="H27" s="175"/>
      <c r="I27" s="645"/>
      <c r="J27" s="183"/>
      <c r="K27" s="645"/>
      <c r="L27" s="183"/>
      <c r="M27" s="645"/>
      <c r="N27" s="293"/>
    </row>
    <row r="28" spans="1:14" ht="12.75" customHeight="1">
      <c r="A28" s="293"/>
      <c r="B28" s="150"/>
      <c r="C28" s="645"/>
      <c r="D28" s="175"/>
      <c r="E28" s="649"/>
      <c r="F28" s="183"/>
      <c r="G28" s="654"/>
      <c r="H28" s="175"/>
      <c r="I28" s="645"/>
      <c r="J28" s="183"/>
      <c r="K28" s="645"/>
      <c r="L28" s="183"/>
      <c r="M28" s="645"/>
      <c r="N28" s="293"/>
    </row>
    <row r="29" spans="1:14" ht="12.75" customHeight="1">
      <c r="A29" s="293"/>
      <c r="B29" s="150"/>
      <c r="C29" s="645"/>
      <c r="D29" s="175"/>
      <c r="E29" s="649"/>
      <c r="F29" s="183"/>
      <c r="G29" s="654"/>
      <c r="H29" s="175"/>
      <c r="I29" s="645"/>
      <c r="J29" s="183"/>
      <c r="K29" s="645"/>
      <c r="L29" s="183"/>
      <c r="M29" s="645"/>
      <c r="N29" s="293"/>
    </row>
    <row r="30" spans="1:14" ht="12.75" customHeight="1">
      <c r="A30" s="293"/>
      <c r="B30" s="150"/>
      <c r="C30" s="645"/>
      <c r="D30" s="175"/>
      <c r="E30" s="649"/>
      <c r="F30" s="183"/>
      <c r="G30" s="654"/>
      <c r="H30" s="175"/>
      <c r="I30" s="645"/>
      <c r="J30" s="183"/>
      <c r="K30" s="645"/>
      <c r="L30" s="183"/>
      <c r="M30" s="645"/>
      <c r="N30" s="293"/>
    </row>
    <row r="31" spans="1:14" ht="12.75" customHeight="1" thickBot="1">
      <c r="A31" s="293"/>
      <c r="B31" s="150"/>
      <c r="C31" s="646"/>
      <c r="D31" s="175"/>
      <c r="E31" s="650"/>
      <c r="F31" s="183"/>
      <c r="G31" s="655"/>
      <c r="H31" s="175"/>
      <c r="I31" s="646"/>
      <c r="J31" s="183"/>
      <c r="K31" s="646"/>
      <c r="L31" s="183"/>
      <c r="M31" s="646"/>
      <c r="N31" s="293"/>
    </row>
    <row r="32" spans="1:14" ht="12.75" customHeight="1">
      <c r="A32" s="293"/>
      <c r="B32" s="150"/>
      <c r="C32" s="175"/>
      <c r="D32" s="175"/>
      <c r="E32" s="299"/>
      <c r="F32" s="190"/>
      <c r="G32" s="423"/>
      <c r="H32" s="185"/>
      <c r="I32" s="185"/>
      <c r="J32" s="190"/>
      <c r="K32" s="185"/>
      <c r="L32" s="190"/>
      <c r="M32" s="419"/>
      <c r="N32" s="293"/>
    </row>
    <row r="33" spans="1:14" ht="12.75" customHeight="1" thickBot="1">
      <c r="A33" s="293"/>
      <c r="B33" s="466" t="s">
        <v>644</v>
      </c>
      <c r="C33" s="177"/>
      <c r="D33" s="177"/>
      <c r="E33" s="478" t="s">
        <v>645</v>
      </c>
      <c r="F33" s="300"/>
      <c r="G33" s="479" t="s">
        <v>647</v>
      </c>
      <c r="H33" s="179"/>
      <c r="I33" s="179"/>
      <c r="J33" s="300"/>
      <c r="K33" s="179"/>
      <c r="L33" s="300"/>
      <c r="M33" s="477"/>
      <c r="N33" s="293"/>
    </row>
    <row r="34" spans="1:14" ht="12.75" customHeight="1">
      <c r="A34" s="293"/>
      <c r="B34" s="150"/>
      <c r="C34" s="647"/>
      <c r="D34" s="175"/>
      <c r="E34" s="657"/>
      <c r="F34" s="190"/>
      <c r="G34" s="657"/>
      <c r="H34" s="185"/>
      <c r="I34" s="647"/>
      <c r="J34" s="190"/>
      <c r="K34" s="647"/>
      <c r="L34" s="190"/>
      <c r="M34" s="647"/>
      <c r="N34" s="171"/>
    </row>
    <row r="35" spans="1:14" ht="12.75" customHeight="1">
      <c r="A35" s="293"/>
      <c r="B35" s="150"/>
      <c r="C35" s="645"/>
      <c r="D35" s="175"/>
      <c r="E35" s="658"/>
      <c r="F35" s="190"/>
      <c r="G35" s="658"/>
      <c r="H35" s="185"/>
      <c r="I35" s="645"/>
      <c r="J35" s="190"/>
      <c r="K35" s="645"/>
      <c r="L35" s="190"/>
      <c r="M35" s="645"/>
      <c r="N35" s="171"/>
    </row>
    <row r="36" spans="1:14" ht="12.75" customHeight="1">
      <c r="A36" s="293"/>
      <c r="B36" s="150"/>
      <c r="C36" s="645"/>
      <c r="D36" s="175"/>
      <c r="E36" s="658"/>
      <c r="F36" s="190"/>
      <c r="G36" s="658"/>
      <c r="H36" s="185"/>
      <c r="I36" s="645"/>
      <c r="J36" s="190"/>
      <c r="K36" s="645"/>
      <c r="L36" s="190"/>
      <c r="M36" s="645"/>
      <c r="N36" s="171"/>
    </row>
    <row r="37" spans="1:14" ht="12.75" customHeight="1">
      <c r="A37" s="293"/>
      <c r="B37" s="150"/>
      <c r="C37" s="645"/>
      <c r="D37" s="175"/>
      <c r="E37" s="658"/>
      <c r="F37" s="190"/>
      <c r="G37" s="658"/>
      <c r="H37" s="185"/>
      <c r="I37" s="645"/>
      <c r="J37" s="190"/>
      <c r="K37" s="645"/>
      <c r="L37" s="190"/>
      <c r="M37" s="645"/>
      <c r="N37" s="171"/>
    </row>
    <row r="38" spans="1:14" ht="12.75" customHeight="1" thickBot="1">
      <c r="A38" s="293"/>
      <c r="B38" s="150"/>
      <c r="C38" s="646"/>
      <c r="D38" s="175"/>
      <c r="E38" s="659"/>
      <c r="F38" s="190"/>
      <c r="G38" s="659"/>
      <c r="H38" s="185"/>
      <c r="I38" s="646"/>
      <c r="J38" s="190"/>
      <c r="K38" s="646"/>
      <c r="L38" s="190"/>
      <c r="M38" s="646"/>
      <c r="N38" s="171"/>
    </row>
    <row r="39" spans="1:14" ht="12.75" customHeight="1" thickBot="1">
      <c r="A39" s="294"/>
      <c r="B39" s="163"/>
      <c r="C39" s="226"/>
      <c r="D39" s="226"/>
      <c r="E39" s="455"/>
      <c r="F39" s="456"/>
      <c r="G39" s="457"/>
      <c r="H39" s="343"/>
      <c r="I39" s="343"/>
      <c r="J39" s="456"/>
      <c r="K39" s="343"/>
      <c r="L39" s="456"/>
      <c r="M39" s="424"/>
      <c r="N39" s="294"/>
    </row>
    <row r="40" spans="1:14" ht="25.5" customHeight="1" thickBot="1">
      <c r="A40" s="293"/>
      <c r="B40" s="568" t="s">
        <v>646</v>
      </c>
      <c r="C40" s="361"/>
      <c r="D40" s="361"/>
      <c r="E40" s="297" t="s">
        <v>635</v>
      </c>
      <c r="F40" s="297"/>
      <c r="G40" s="447" t="s">
        <v>183</v>
      </c>
      <c r="H40" s="297"/>
      <c r="I40" s="297" t="s">
        <v>184</v>
      </c>
      <c r="J40" s="297"/>
      <c r="K40" s="297" t="s">
        <v>299</v>
      </c>
      <c r="L40" s="297"/>
      <c r="M40"/>
      <c r="N40" s="293"/>
    </row>
    <row r="41" spans="1:14" ht="12.75" customHeight="1">
      <c r="A41" s="293"/>
      <c r="B41" s="150"/>
      <c r="C41" s="647"/>
      <c r="D41" s="175"/>
      <c r="E41" s="651"/>
      <c r="F41" s="183"/>
      <c r="G41" s="653"/>
      <c r="H41" s="175"/>
      <c r="I41" s="647"/>
      <c r="J41" s="183"/>
      <c r="K41" s="647"/>
      <c r="L41" s="183"/>
      <c r="M41"/>
      <c r="N41" s="293"/>
    </row>
    <row r="42" spans="1:14" ht="12.75" customHeight="1">
      <c r="A42" s="293"/>
      <c r="B42" s="150"/>
      <c r="C42" s="645"/>
      <c r="D42" s="175"/>
      <c r="E42" s="648"/>
      <c r="F42" s="183"/>
      <c r="G42" s="654"/>
      <c r="H42" s="175"/>
      <c r="I42" s="644"/>
      <c r="J42" s="183"/>
      <c r="K42" s="644"/>
      <c r="L42" s="183"/>
      <c r="M42"/>
      <c r="N42" s="293"/>
    </row>
    <row r="43" spans="1:14" ht="12.75" customHeight="1">
      <c r="A43" s="293"/>
      <c r="B43" s="150"/>
      <c r="C43" s="645"/>
      <c r="D43" s="175"/>
      <c r="E43" s="648"/>
      <c r="F43" s="183"/>
      <c r="G43" s="654"/>
      <c r="H43" s="175"/>
      <c r="I43" s="644"/>
      <c r="J43" s="183"/>
      <c r="K43" s="644"/>
      <c r="L43" s="183"/>
      <c r="M43"/>
      <c r="N43" s="293"/>
    </row>
    <row r="44" spans="1:14" ht="12.75" customHeight="1">
      <c r="A44" s="293"/>
      <c r="B44" s="150"/>
      <c r="C44" s="645"/>
      <c r="D44" s="175"/>
      <c r="E44" s="649"/>
      <c r="F44" s="183"/>
      <c r="G44" s="654"/>
      <c r="H44" s="175"/>
      <c r="I44" s="645"/>
      <c r="J44" s="183"/>
      <c r="K44" s="645"/>
      <c r="L44" s="183"/>
      <c r="M44"/>
      <c r="N44" s="293"/>
    </row>
    <row r="45" spans="1:14" ht="12.75" customHeight="1">
      <c r="A45" s="293"/>
      <c r="B45" s="150"/>
      <c r="C45" s="656"/>
      <c r="D45" s="175"/>
      <c r="E45" s="652"/>
      <c r="F45" s="183"/>
      <c r="G45" s="660"/>
      <c r="H45" s="175"/>
      <c r="I45" s="656"/>
      <c r="J45" s="183"/>
      <c r="K45" s="656"/>
      <c r="L45" s="183"/>
      <c r="M45"/>
      <c r="N45" s="293"/>
    </row>
    <row r="46" spans="1:14" ht="12.75" customHeight="1">
      <c r="A46" s="293"/>
      <c r="B46" s="150"/>
      <c r="C46" s="656"/>
      <c r="D46" s="175"/>
      <c r="E46" s="652"/>
      <c r="F46" s="183"/>
      <c r="G46" s="660"/>
      <c r="H46" s="175"/>
      <c r="I46" s="656"/>
      <c r="J46" s="183"/>
      <c r="K46" s="656"/>
      <c r="L46" s="183"/>
      <c r="M46"/>
      <c r="N46" s="293"/>
    </row>
    <row r="47" spans="1:14" ht="12.75" customHeight="1" thickBot="1">
      <c r="A47" s="293"/>
      <c r="B47" s="150"/>
      <c r="C47" s="646"/>
      <c r="D47" s="175"/>
      <c r="E47" s="650"/>
      <c r="F47" s="183"/>
      <c r="G47" s="655"/>
      <c r="H47" s="175"/>
      <c r="I47" s="646"/>
      <c r="J47" s="183"/>
      <c r="K47" s="646"/>
      <c r="L47" s="183"/>
      <c r="M47"/>
      <c r="N47" s="293"/>
    </row>
    <row r="48" spans="1:14" ht="12.75" customHeight="1">
      <c r="A48" s="293"/>
      <c r="B48" s="211"/>
      <c r="C48" s="180"/>
      <c r="D48" s="180"/>
      <c r="E48" s="280"/>
      <c r="F48" s="181"/>
      <c r="G48" s="284"/>
      <c r="H48" s="180"/>
      <c r="I48" s="180"/>
      <c r="J48" s="181"/>
      <c r="K48" s="180"/>
      <c r="L48" s="181"/>
      <c r="M48" s="306"/>
      <c r="N48" s="293"/>
    </row>
    <row r="49" spans="1:14" ht="12.75" customHeight="1">
      <c r="A49" s="293"/>
      <c r="B49" s="568"/>
      <c r="C49" s="195" t="s">
        <v>538</v>
      </c>
      <c r="D49" s="175"/>
      <c r="E49" s="228"/>
      <c r="F49" s="183"/>
      <c r="G49" s="296" t="s">
        <v>183</v>
      </c>
      <c r="H49" s="175"/>
      <c r="I49" s="195" t="s">
        <v>184</v>
      </c>
      <c r="J49" s="183"/>
      <c r="K49" s="175"/>
      <c r="L49" s="183"/>
      <c r="M49" s="175"/>
      <c r="N49" s="293"/>
    </row>
    <row r="50" spans="1:14" ht="12.75" customHeight="1" thickBot="1">
      <c r="A50" s="293"/>
      <c r="B50" s="224" t="s">
        <v>316</v>
      </c>
      <c r="C50" s="195"/>
      <c r="D50" s="195"/>
      <c r="E50" s="195"/>
      <c r="F50" s="195"/>
      <c r="G50" s="296"/>
      <c r="H50" s="195"/>
      <c r="I50" s="195"/>
      <c r="J50" s="195"/>
      <c r="K50" s="195"/>
      <c r="L50" s="195"/>
      <c r="M50" s="195"/>
      <c r="N50" s="293"/>
    </row>
    <row r="51" spans="1:14" ht="12.75" customHeight="1">
      <c r="A51" s="293"/>
      <c r="B51" s="150"/>
      <c r="C51" s="185" t="s">
        <v>534</v>
      </c>
      <c r="D51" s="175"/>
      <c r="E51" s="299"/>
      <c r="F51" s="190"/>
      <c r="G51" s="653"/>
      <c r="H51" s="175"/>
      <c r="I51" s="647"/>
      <c r="J51" s="183"/>
      <c r="K51" s="175"/>
      <c r="L51" s="183"/>
      <c r="M51" s="175"/>
      <c r="N51" s="293"/>
    </row>
    <row r="52" spans="1:14" ht="12.75" customHeight="1">
      <c r="A52" s="293"/>
      <c r="B52" s="150"/>
      <c r="C52" s="185" t="s">
        <v>539</v>
      </c>
      <c r="D52" s="175"/>
      <c r="E52" s="299"/>
      <c r="F52" s="190"/>
      <c r="G52" s="654"/>
      <c r="H52" s="175"/>
      <c r="I52" s="645"/>
      <c r="J52" s="183"/>
      <c r="K52" s="175"/>
      <c r="L52" s="183"/>
      <c r="M52" s="175"/>
      <c r="N52" s="293"/>
    </row>
    <row r="53" spans="1:14" ht="12.75" customHeight="1" thickBot="1">
      <c r="A53" s="293"/>
      <c r="B53" s="150"/>
      <c r="C53" s="343" t="s">
        <v>638</v>
      </c>
      <c r="D53" s="175"/>
      <c r="E53" s="299"/>
      <c r="F53" s="190"/>
      <c r="G53" s="654"/>
      <c r="H53" s="175"/>
      <c r="I53" s="645"/>
      <c r="J53" s="183"/>
      <c r="K53" s="175"/>
      <c r="L53" s="183"/>
      <c r="M53" s="175"/>
      <c r="N53" s="293"/>
    </row>
    <row r="54" spans="1:14" ht="12.75" customHeight="1">
      <c r="A54" s="293"/>
      <c r="B54" s="150"/>
      <c r="C54" s="644"/>
      <c r="D54" s="175"/>
      <c r="E54" s="299"/>
      <c r="F54" s="190"/>
      <c r="G54" s="654"/>
      <c r="H54" s="175"/>
      <c r="I54" s="645"/>
      <c r="J54" s="183"/>
      <c r="K54" s="175"/>
      <c r="L54" s="183"/>
      <c r="M54" s="175"/>
      <c r="N54" s="293"/>
    </row>
    <row r="55" spans="1:14" ht="12.75" customHeight="1">
      <c r="A55" s="293"/>
      <c r="B55" s="150"/>
      <c r="C55" s="645"/>
      <c r="D55" s="175"/>
      <c r="E55" s="299"/>
      <c r="F55" s="190"/>
      <c r="G55" s="654"/>
      <c r="H55" s="175"/>
      <c r="I55" s="645"/>
      <c r="J55" s="183"/>
      <c r="K55" s="175"/>
      <c r="L55" s="183"/>
      <c r="M55" s="175"/>
      <c r="N55" s="293"/>
    </row>
    <row r="56" spans="1:14" ht="12.75" customHeight="1">
      <c r="A56" s="293"/>
      <c r="B56" s="150"/>
      <c r="C56" s="645"/>
      <c r="D56" s="175"/>
      <c r="E56" s="299"/>
      <c r="F56" s="190"/>
      <c r="G56" s="654"/>
      <c r="H56" s="175"/>
      <c r="I56" s="645"/>
      <c r="J56" s="183"/>
      <c r="K56" s="175"/>
      <c r="L56" s="183"/>
      <c r="M56" s="175"/>
      <c r="N56" s="293"/>
    </row>
    <row r="57" spans="1:14" ht="12.75" customHeight="1" thickBot="1">
      <c r="A57" s="293"/>
      <c r="B57" s="150"/>
      <c r="C57" s="646"/>
      <c r="D57" s="175"/>
      <c r="E57" s="299"/>
      <c r="F57" s="190"/>
      <c r="G57" s="655"/>
      <c r="H57" s="175"/>
      <c r="I57" s="646"/>
      <c r="J57" s="183"/>
      <c r="K57" s="175"/>
      <c r="L57" s="183"/>
      <c r="M57" s="175"/>
      <c r="N57" s="293"/>
    </row>
    <row r="58" spans="1:14" ht="12.75" customHeight="1">
      <c r="A58" s="293"/>
      <c r="B58" s="211"/>
      <c r="C58" s="180"/>
      <c r="D58" s="180"/>
      <c r="E58" s="415"/>
      <c r="F58" s="344"/>
      <c r="G58" s="284"/>
      <c r="H58" s="180"/>
      <c r="I58" s="180"/>
      <c r="J58" s="181"/>
      <c r="K58" s="180"/>
      <c r="L58" s="181"/>
      <c r="M58" s="306"/>
      <c r="N58" s="293"/>
    </row>
    <row r="59" spans="1:14" ht="12.75" customHeight="1" thickBot="1">
      <c r="A59" s="293"/>
      <c r="B59" s="224" t="s">
        <v>532</v>
      </c>
      <c r="C59" s="175"/>
      <c r="D59" s="175"/>
      <c r="E59" s="299"/>
      <c r="F59" s="190"/>
      <c r="G59" s="191"/>
      <c r="H59" s="175"/>
      <c r="I59" s="175"/>
      <c r="J59" s="183"/>
      <c r="K59" s="175"/>
      <c r="L59" s="183"/>
      <c r="M59" s="290"/>
      <c r="N59" s="293"/>
    </row>
    <row r="60" spans="1:14" ht="12.75" customHeight="1">
      <c r="A60" s="293"/>
      <c r="B60" s="150"/>
      <c r="C60" s="185" t="s">
        <v>181</v>
      </c>
      <c r="D60" s="175"/>
      <c r="E60" s="299"/>
      <c r="F60" s="190"/>
      <c r="G60" s="653"/>
      <c r="H60" s="175"/>
      <c r="I60" s="647"/>
      <c r="J60" s="183"/>
      <c r="K60" s="175"/>
      <c r="L60" s="183"/>
      <c r="M60" s="175"/>
      <c r="N60" s="293"/>
    </row>
    <row r="61" spans="1:14" ht="12.75" customHeight="1">
      <c r="A61" s="293"/>
      <c r="B61" s="150"/>
      <c r="C61" s="185" t="s">
        <v>182</v>
      </c>
      <c r="D61" s="175"/>
      <c r="E61" s="299"/>
      <c r="F61" s="190"/>
      <c r="G61" s="654"/>
      <c r="H61" s="175"/>
      <c r="I61" s="645"/>
      <c r="J61" s="183"/>
      <c r="K61" s="175"/>
      <c r="L61" s="183"/>
      <c r="M61" s="175"/>
      <c r="N61" s="293"/>
    </row>
    <row r="62" spans="1:14" ht="12.75" customHeight="1">
      <c r="A62" s="293"/>
      <c r="B62" s="150"/>
      <c r="C62" s="185" t="s">
        <v>639</v>
      </c>
      <c r="D62" s="175"/>
      <c r="E62" s="299"/>
      <c r="F62" s="190"/>
      <c r="G62" s="654"/>
      <c r="H62" s="175"/>
      <c r="I62" s="645"/>
      <c r="J62" s="183"/>
      <c r="K62" s="175"/>
      <c r="L62" s="183"/>
      <c r="M62" s="175"/>
      <c r="N62" s="293"/>
    </row>
    <row r="63" spans="1:14" ht="12.75" customHeight="1" thickBot="1">
      <c r="A63" s="293"/>
      <c r="B63" s="150"/>
      <c r="C63" s="343" t="s">
        <v>641</v>
      </c>
      <c r="D63" s="175"/>
      <c r="E63" s="299"/>
      <c r="F63" s="190"/>
      <c r="G63" s="654"/>
      <c r="H63" s="175"/>
      <c r="I63" s="645"/>
      <c r="J63" s="183"/>
      <c r="K63" s="175"/>
      <c r="L63" s="183"/>
      <c r="M63" s="175"/>
      <c r="N63" s="293"/>
    </row>
    <row r="64" spans="1:14" ht="12.75" customHeight="1">
      <c r="A64" s="293"/>
      <c r="B64" s="150"/>
      <c r="C64" s="644"/>
      <c r="D64" s="175"/>
      <c r="E64" s="299"/>
      <c r="F64" s="190"/>
      <c r="G64" s="654"/>
      <c r="H64" s="175"/>
      <c r="I64" s="645"/>
      <c r="J64" s="183"/>
      <c r="K64" s="175"/>
      <c r="L64" s="183"/>
      <c r="M64" s="175"/>
      <c r="N64" s="293"/>
    </row>
    <row r="65" spans="1:14" ht="12.75" customHeight="1">
      <c r="A65" s="293"/>
      <c r="B65" s="150"/>
      <c r="C65" s="645"/>
      <c r="D65" s="175"/>
      <c r="E65" s="299"/>
      <c r="F65" s="190"/>
      <c r="G65" s="654"/>
      <c r="H65" s="175"/>
      <c r="I65" s="645"/>
      <c r="J65" s="183"/>
      <c r="K65" s="175"/>
      <c r="L65" s="183"/>
      <c r="M65" s="175"/>
      <c r="N65" s="293"/>
    </row>
    <row r="66" spans="1:14" ht="12.75" customHeight="1">
      <c r="A66" s="293"/>
      <c r="B66" s="150"/>
      <c r="C66" s="645"/>
      <c r="D66" s="175"/>
      <c r="E66" s="299"/>
      <c r="F66" s="190"/>
      <c r="G66" s="654"/>
      <c r="H66" s="175"/>
      <c r="I66" s="645"/>
      <c r="J66" s="183"/>
      <c r="K66" s="175"/>
      <c r="L66" s="183"/>
      <c r="M66" s="175"/>
      <c r="N66" s="293"/>
    </row>
    <row r="67" spans="1:14" ht="12.75" customHeight="1">
      <c r="A67" s="293"/>
      <c r="B67" s="150"/>
      <c r="C67" s="645"/>
      <c r="D67" s="175"/>
      <c r="E67" s="228"/>
      <c r="F67" s="183"/>
      <c r="G67" s="654"/>
      <c r="H67" s="175"/>
      <c r="I67" s="645"/>
      <c r="J67" s="183"/>
      <c r="K67" s="175"/>
      <c r="L67" s="183"/>
      <c r="M67" s="175"/>
      <c r="N67" s="293"/>
    </row>
    <row r="68" spans="1:14" ht="12.75" customHeight="1" thickBot="1">
      <c r="A68" s="293"/>
      <c r="B68" s="150"/>
      <c r="C68" s="646"/>
      <c r="D68" s="175"/>
      <c r="E68" s="228"/>
      <c r="F68" s="183"/>
      <c r="G68" s="655"/>
      <c r="H68" s="175"/>
      <c r="I68" s="646"/>
      <c r="J68" s="183"/>
      <c r="K68" s="175"/>
      <c r="L68" s="183"/>
      <c r="M68" s="175"/>
      <c r="N68" s="293"/>
    </row>
    <row r="69" spans="1:14" ht="12.75" customHeight="1">
      <c r="A69" s="293"/>
      <c r="B69" s="211"/>
      <c r="C69" s="180"/>
      <c r="D69" s="180"/>
      <c r="E69" s="280"/>
      <c r="F69" s="181"/>
      <c r="G69" s="284"/>
      <c r="H69" s="180"/>
      <c r="I69" s="180"/>
      <c r="J69" s="181"/>
      <c r="K69" s="180"/>
      <c r="L69" s="181"/>
      <c r="M69" s="306"/>
      <c r="N69" s="293"/>
    </row>
    <row r="70" spans="1:14" ht="12.75" customHeight="1" thickBot="1">
      <c r="A70" s="293"/>
      <c r="B70" s="1294" t="s">
        <v>533</v>
      </c>
      <c r="C70" s="1295"/>
      <c r="D70" s="175"/>
      <c r="E70" s="228"/>
      <c r="F70" s="183"/>
      <c r="G70" s="191"/>
      <c r="H70" s="175"/>
      <c r="I70" s="175"/>
      <c r="J70" s="183"/>
      <c r="K70" s="175"/>
      <c r="L70" s="183"/>
      <c r="M70" s="175"/>
      <c r="N70" s="293"/>
    </row>
    <row r="71" spans="1:14" ht="12.75" customHeight="1">
      <c r="A71" s="293"/>
      <c r="B71" s="150"/>
      <c r="C71" s="185" t="s">
        <v>651</v>
      </c>
      <c r="D71" s="175"/>
      <c r="E71" s="184"/>
      <c r="F71" s="183"/>
      <c r="G71" s="653"/>
      <c r="H71" s="175"/>
      <c r="I71" s="647"/>
      <c r="J71" s="183"/>
      <c r="K71" s="175"/>
      <c r="L71" s="183"/>
      <c r="M71" s="175"/>
      <c r="N71" s="293"/>
    </row>
    <row r="72" spans="1:14" ht="12.75" customHeight="1" thickBot="1">
      <c r="A72" s="293"/>
      <c r="B72" s="150"/>
      <c r="C72" s="343" t="s">
        <v>640</v>
      </c>
      <c r="D72" s="175"/>
      <c r="E72" s="228"/>
      <c r="F72" s="183"/>
      <c r="G72" s="654"/>
      <c r="H72" s="175"/>
      <c r="I72" s="645"/>
      <c r="J72" s="183"/>
      <c r="K72" s="175"/>
      <c r="L72" s="183"/>
      <c r="M72" s="175"/>
      <c r="N72" s="293"/>
    </row>
    <row r="73" spans="1:14" ht="12.75" customHeight="1">
      <c r="A73" s="293"/>
      <c r="B73" s="150"/>
      <c r="C73" s="644"/>
      <c r="D73" s="175"/>
      <c r="E73" s="228"/>
      <c r="F73" s="183"/>
      <c r="G73" s="654"/>
      <c r="H73" s="175"/>
      <c r="I73" s="645"/>
      <c r="J73" s="183"/>
      <c r="K73" s="175"/>
      <c r="L73" s="183"/>
      <c r="M73" s="175"/>
      <c r="N73" s="293"/>
    </row>
    <row r="74" spans="1:14" ht="12.75" customHeight="1">
      <c r="A74" s="293"/>
      <c r="B74" s="150"/>
      <c r="C74" s="645"/>
      <c r="D74" s="175"/>
      <c r="E74" s="228"/>
      <c r="F74" s="183"/>
      <c r="G74" s="654"/>
      <c r="H74" s="175"/>
      <c r="I74" s="645"/>
      <c r="J74" s="183"/>
      <c r="K74" s="175"/>
      <c r="L74" s="183"/>
      <c r="M74" s="175"/>
      <c r="N74" s="293"/>
    </row>
    <row r="75" spans="1:14" ht="12.75" customHeight="1">
      <c r="A75" s="293"/>
      <c r="B75" s="150"/>
      <c r="C75" s="645"/>
      <c r="D75" s="175"/>
      <c r="E75" s="228"/>
      <c r="F75" s="183"/>
      <c r="G75" s="654"/>
      <c r="H75" s="175"/>
      <c r="I75" s="645"/>
      <c r="J75" s="183"/>
      <c r="K75" s="175"/>
      <c r="L75" s="183"/>
      <c r="M75" s="175"/>
      <c r="N75" s="293"/>
    </row>
    <row r="76" spans="1:14" ht="12.75" customHeight="1" thickBot="1">
      <c r="A76" s="293"/>
      <c r="B76" s="150"/>
      <c r="C76" s="646"/>
      <c r="D76" s="175"/>
      <c r="E76" s="228"/>
      <c r="F76" s="183"/>
      <c r="G76" s="655"/>
      <c r="H76" s="175"/>
      <c r="I76" s="646"/>
      <c r="J76" s="183"/>
      <c r="K76" s="175"/>
      <c r="L76" s="183"/>
      <c r="M76" s="175"/>
      <c r="N76" s="293"/>
    </row>
    <row r="77" spans="1:14" ht="12.75" customHeight="1" thickBot="1">
      <c r="A77" s="294"/>
      <c r="B77" s="163"/>
      <c r="C77" s="226"/>
      <c r="D77" s="226"/>
      <c r="E77" s="282"/>
      <c r="F77" s="227"/>
      <c r="G77" s="286"/>
      <c r="H77" s="226"/>
      <c r="I77" s="226"/>
      <c r="J77" s="227"/>
      <c r="K77" s="226"/>
      <c r="L77" s="227"/>
      <c r="M77" s="301"/>
      <c r="N77" s="294"/>
    </row>
    <row r="78" spans="1:15" ht="12.75" customHeight="1" thickBot="1">
      <c r="A78" s="459"/>
      <c r="B78" s="460"/>
      <c r="C78" s="461"/>
      <c r="D78" s="461"/>
      <c r="E78" s="462"/>
      <c r="F78" s="463"/>
      <c r="G78" s="464"/>
      <c r="H78" s="461"/>
      <c r="I78" s="461"/>
      <c r="J78" s="463"/>
      <c r="K78" s="461"/>
      <c r="L78" s="463"/>
      <c r="M78" s="461"/>
      <c r="N78" s="465"/>
      <c r="O78" s="170"/>
    </row>
    <row r="79" spans="1:14" ht="12.75" customHeight="1">
      <c r="A79" s="295"/>
      <c r="B79" s="310" t="s">
        <v>313</v>
      </c>
      <c r="C79" s="302"/>
      <c r="D79" s="302"/>
      <c r="E79" s="303"/>
      <c r="F79" s="304"/>
      <c r="G79" s="305"/>
      <c r="H79" s="302"/>
      <c r="I79" s="302"/>
      <c r="J79" s="304"/>
      <c r="K79" s="302"/>
      <c r="L79" s="304"/>
      <c r="M79" s="302"/>
      <c r="N79" s="295"/>
    </row>
    <row r="80" spans="1:15" s="309" customFormat="1" ht="25.5">
      <c r="A80" s="308"/>
      <c r="B80" s="291"/>
      <c r="C80" s="297" t="s">
        <v>217</v>
      </c>
      <c r="D80" s="297"/>
      <c r="E80" s="476" t="s">
        <v>636</v>
      </c>
      <c r="F80" s="297"/>
      <c r="G80" s="447" t="s">
        <v>118</v>
      </c>
      <c r="H80" s="297"/>
      <c r="I80" s="297" t="s">
        <v>184</v>
      </c>
      <c r="J80" s="1303" t="s">
        <v>649</v>
      </c>
      <c r="K80" s="1303"/>
      <c r="L80" s="1303"/>
      <c r="M80" s="297" t="s">
        <v>311</v>
      </c>
      <c r="N80" s="308"/>
      <c r="O80" s="289"/>
    </row>
    <row r="81" spans="1:15" ht="12.75" customHeight="1" thickBot="1">
      <c r="A81" s="307"/>
      <c r="B81" s="192" t="s">
        <v>318</v>
      </c>
      <c r="C81" s="175"/>
      <c r="D81" s="175"/>
      <c r="E81" s="228"/>
      <c r="F81" s="183"/>
      <c r="G81" s="191"/>
      <c r="H81" s="175"/>
      <c r="I81" s="175"/>
      <c r="J81" s="183"/>
      <c r="K81" s="175"/>
      <c r="L81" s="183"/>
      <c r="M81" s="175"/>
      <c r="N81" s="307"/>
      <c r="O81" s="176"/>
    </row>
    <row r="82" spans="1:15" ht="12.75" customHeight="1">
      <c r="A82" s="307"/>
      <c r="B82" s="175"/>
      <c r="C82" s="172" t="s">
        <v>320</v>
      </c>
      <c r="D82" s="175"/>
      <c r="E82" s="664"/>
      <c r="F82" s="183"/>
      <c r="G82" s="653"/>
      <c r="H82" s="175"/>
      <c r="I82" s="647"/>
      <c r="J82" s="183"/>
      <c r="K82" s="647"/>
      <c r="L82" s="183"/>
      <c r="M82" s="647"/>
      <c r="N82" s="307"/>
      <c r="O82" s="176"/>
    </row>
    <row r="83" spans="1:15" ht="12.75" customHeight="1">
      <c r="A83" s="307"/>
      <c r="B83" s="175"/>
      <c r="C83" s="172" t="s">
        <v>320</v>
      </c>
      <c r="D83" s="175"/>
      <c r="E83" s="665"/>
      <c r="F83" s="183"/>
      <c r="G83" s="654"/>
      <c r="H83" s="175"/>
      <c r="I83" s="645"/>
      <c r="J83" s="183"/>
      <c r="K83" s="645"/>
      <c r="L83" s="183"/>
      <c r="M83" s="645"/>
      <c r="N83" s="307"/>
      <c r="O83" s="176"/>
    </row>
    <row r="84" spans="1:15" ht="12.75" customHeight="1">
      <c r="A84" s="307"/>
      <c r="B84" s="175"/>
      <c r="C84" s="172" t="s">
        <v>320</v>
      </c>
      <c r="D84" s="175"/>
      <c r="E84" s="665"/>
      <c r="F84" s="183"/>
      <c r="G84" s="654"/>
      <c r="H84" s="175"/>
      <c r="I84" s="645"/>
      <c r="J84" s="183"/>
      <c r="K84" s="645"/>
      <c r="L84" s="183"/>
      <c r="M84" s="645"/>
      <c r="N84" s="307"/>
      <c r="O84" s="176"/>
    </row>
    <row r="85" spans="1:15" ht="12.75" customHeight="1" thickBot="1">
      <c r="A85" s="307"/>
      <c r="B85" s="175"/>
      <c r="C85" s="232" t="s">
        <v>321</v>
      </c>
      <c r="D85" s="175"/>
      <c r="E85" s="665"/>
      <c r="F85" s="183"/>
      <c r="G85" s="654"/>
      <c r="H85" s="175"/>
      <c r="I85" s="645"/>
      <c r="J85" s="183"/>
      <c r="K85" s="645"/>
      <c r="L85" s="183"/>
      <c r="M85" s="645"/>
      <c r="N85" s="307"/>
      <c r="O85" s="176"/>
    </row>
    <row r="86" spans="1:15" ht="12.75" customHeight="1">
      <c r="A86" s="307"/>
      <c r="B86" s="175"/>
      <c r="C86" s="661"/>
      <c r="D86" s="175"/>
      <c r="E86" s="665"/>
      <c r="F86" s="183"/>
      <c r="G86" s="654"/>
      <c r="H86" s="175"/>
      <c r="I86" s="645"/>
      <c r="J86" s="183"/>
      <c r="K86" s="645"/>
      <c r="L86" s="183"/>
      <c r="M86" s="645"/>
      <c r="N86" s="307"/>
      <c r="O86" s="176"/>
    </row>
    <row r="87" spans="1:15" ht="12.75" customHeight="1">
      <c r="A87" s="307"/>
      <c r="B87" s="175"/>
      <c r="C87" s="662"/>
      <c r="D87" s="175"/>
      <c r="E87" s="665"/>
      <c r="F87" s="183"/>
      <c r="G87" s="654"/>
      <c r="H87" s="175"/>
      <c r="I87" s="645"/>
      <c r="J87" s="183"/>
      <c r="K87" s="645"/>
      <c r="L87" s="183"/>
      <c r="M87" s="645"/>
      <c r="N87" s="307"/>
      <c r="O87" s="176"/>
    </row>
    <row r="88" spans="1:15" ht="12.75" customHeight="1">
      <c r="A88" s="307"/>
      <c r="B88" s="175"/>
      <c r="C88" s="662"/>
      <c r="D88" s="175"/>
      <c r="E88" s="665"/>
      <c r="F88" s="183"/>
      <c r="G88" s="654"/>
      <c r="H88" s="175"/>
      <c r="I88" s="645"/>
      <c r="J88" s="183"/>
      <c r="K88" s="645"/>
      <c r="L88" s="183"/>
      <c r="M88" s="645"/>
      <c r="N88" s="307"/>
      <c r="O88" s="176"/>
    </row>
    <row r="89" spans="1:15" ht="12.75" customHeight="1" thickBot="1">
      <c r="A89" s="307"/>
      <c r="B89" s="175"/>
      <c r="C89" s="663"/>
      <c r="D89" s="175"/>
      <c r="E89" s="666"/>
      <c r="F89" s="183"/>
      <c r="G89" s="655"/>
      <c r="H89" s="175"/>
      <c r="I89" s="646"/>
      <c r="J89" s="183"/>
      <c r="K89" s="646"/>
      <c r="L89" s="183"/>
      <c r="M89" s="646"/>
      <c r="N89" s="307"/>
      <c r="O89" s="176"/>
    </row>
    <row r="90" spans="1:15" ht="12.75" customHeight="1">
      <c r="A90" s="307"/>
      <c r="B90" s="175"/>
      <c r="C90" s="170"/>
      <c r="D90" s="175"/>
      <c r="E90" s="228"/>
      <c r="F90" s="183"/>
      <c r="G90" s="191"/>
      <c r="H90" s="175"/>
      <c r="I90" s="185"/>
      <c r="J90" s="190"/>
      <c r="K90" s="185"/>
      <c r="L90" s="190"/>
      <c r="M90" s="419"/>
      <c r="N90" s="307"/>
      <c r="O90" s="176"/>
    </row>
    <row r="91" spans="1:15" ht="12.75" customHeight="1" thickBot="1">
      <c r="A91" s="307"/>
      <c r="B91" s="466" t="s">
        <v>319</v>
      </c>
      <c r="C91" s="177"/>
      <c r="D91" s="177"/>
      <c r="E91" s="281"/>
      <c r="F91" s="178"/>
      <c r="G91" s="285"/>
      <c r="H91" s="177"/>
      <c r="I91" s="416"/>
      <c r="J91" s="178"/>
      <c r="K91" s="416"/>
      <c r="L91" s="178"/>
      <c r="M91" s="417"/>
      <c r="N91" s="307"/>
      <c r="O91" s="176"/>
    </row>
    <row r="92" spans="1:15" ht="12.75" customHeight="1">
      <c r="A92" s="307"/>
      <c r="B92" s="175"/>
      <c r="C92" s="172" t="s">
        <v>769</v>
      </c>
      <c r="D92" s="175"/>
      <c r="E92" s="664"/>
      <c r="F92" s="183"/>
      <c r="G92" s="653"/>
      <c r="H92" s="175"/>
      <c r="I92" s="644"/>
      <c r="J92" s="418"/>
      <c r="K92" s="644"/>
      <c r="L92" s="418"/>
      <c r="M92" s="644"/>
      <c r="N92" s="307"/>
      <c r="O92" s="176"/>
    </row>
    <row r="93" spans="1:15" ht="12.75" customHeight="1">
      <c r="A93" s="307"/>
      <c r="B93" s="175"/>
      <c r="C93" s="172" t="s">
        <v>642</v>
      </c>
      <c r="D93" s="175"/>
      <c r="E93" s="665"/>
      <c r="F93" s="183"/>
      <c r="G93" s="654"/>
      <c r="H93" s="175"/>
      <c r="I93" s="645"/>
      <c r="J93" s="183"/>
      <c r="K93" s="645"/>
      <c r="L93" s="183"/>
      <c r="M93" s="645"/>
      <c r="N93" s="307"/>
      <c r="O93" s="176"/>
    </row>
    <row r="94" spans="1:15" ht="12.75" customHeight="1">
      <c r="A94" s="307"/>
      <c r="C94" s="172" t="s">
        <v>290</v>
      </c>
      <c r="D94" s="175"/>
      <c r="E94" s="665"/>
      <c r="F94" s="183"/>
      <c r="G94" s="654"/>
      <c r="H94" s="175"/>
      <c r="I94" s="645"/>
      <c r="J94" s="183"/>
      <c r="K94" s="645"/>
      <c r="L94" s="183"/>
      <c r="M94" s="645"/>
      <c r="N94" s="307"/>
      <c r="O94" s="176"/>
    </row>
    <row r="95" spans="1:15" ht="12.75" customHeight="1" thickBot="1">
      <c r="A95" s="307"/>
      <c r="C95" s="232" t="s">
        <v>291</v>
      </c>
      <c r="D95" s="175"/>
      <c r="E95" s="665"/>
      <c r="F95" s="183"/>
      <c r="G95" s="654"/>
      <c r="H95" s="175"/>
      <c r="I95" s="645"/>
      <c r="J95" s="183"/>
      <c r="K95" s="645"/>
      <c r="L95" s="183"/>
      <c r="M95" s="645"/>
      <c r="N95" s="307"/>
      <c r="O95" s="176"/>
    </row>
    <row r="96" spans="1:15" ht="12.75" customHeight="1">
      <c r="A96" s="307"/>
      <c r="C96" s="647"/>
      <c r="D96" s="175"/>
      <c r="E96" s="665"/>
      <c r="F96" s="183"/>
      <c r="G96" s="654"/>
      <c r="H96" s="175"/>
      <c r="I96" s="645"/>
      <c r="J96" s="183"/>
      <c r="K96" s="645"/>
      <c r="L96" s="183"/>
      <c r="M96" s="645"/>
      <c r="N96" s="307"/>
      <c r="O96" s="176"/>
    </row>
    <row r="97" spans="1:15" ht="12.75" customHeight="1">
      <c r="A97" s="307"/>
      <c r="C97" s="645"/>
      <c r="D97" s="175"/>
      <c r="E97" s="665"/>
      <c r="F97" s="183"/>
      <c r="G97" s="654"/>
      <c r="H97" s="175"/>
      <c r="I97" s="645"/>
      <c r="J97" s="183"/>
      <c r="K97" s="645"/>
      <c r="L97" s="183"/>
      <c r="M97" s="645"/>
      <c r="N97" s="307"/>
      <c r="O97" s="176"/>
    </row>
    <row r="98" spans="1:15" ht="12.75" customHeight="1">
      <c r="A98" s="307"/>
      <c r="C98" s="645"/>
      <c r="D98" s="175"/>
      <c r="E98" s="665"/>
      <c r="F98" s="183"/>
      <c r="G98" s="654"/>
      <c r="H98" s="175"/>
      <c r="I98" s="645"/>
      <c r="J98" s="183"/>
      <c r="K98" s="645"/>
      <c r="L98" s="183"/>
      <c r="M98" s="645"/>
      <c r="N98" s="307"/>
      <c r="O98" s="176"/>
    </row>
    <row r="99" spans="1:14" ht="12.75" customHeight="1">
      <c r="A99" s="293"/>
      <c r="C99" s="662"/>
      <c r="D99" s="175"/>
      <c r="E99" s="665"/>
      <c r="F99" s="183"/>
      <c r="G99" s="654"/>
      <c r="H99" s="175"/>
      <c r="I99" s="645"/>
      <c r="J99" s="183"/>
      <c r="K99" s="645"/>
      <c r="L99" s="183"/>
      <c r="M99" s="645"/>
      <c r="N99" s="293"/>
    </row>
    <row r="100" spans="1:14" ht="12.75" customHeight="1">
      <c r="A100" s="293"/>
      <c r="C100" s="662"/>
      <c r="D100" s="175"/>
      <c r="E100" s="665"/>
      <c r="F100" s="183"/>
      <c r="G100" s="654"/>
      <c r="H100" s="175"/>
      <c r="I100" s="645"/>
      <c r="J100" s="183"/>
      <c r="K100" s="645"/>
      <c r="L100" s="183"/>
      <c r="M100" s="645"/>
      <c r="N100" s="293"/>
    </row>
    <row r="101" spans="1:14" ht="12.75" customHeight="1">
      <c r="A101" s="293"/>
      <c r="C101" s="662"/>
      <c r="D101" s="175"/>
      <c r="E101" s="665"/>
      <c r="F101" s="183"/>
      <c r="G101" s="654"/>
      <c r="H101" s="175"/>
      <c r="I101" s="645"/>
      <c r="J101" s="183"/>
      <c r="K101" s="645"/>
      <c r="L101" s="183"/>
      <c r="M101" s="645"/>
      <c r="N101" s="293"/>
    </row>
    <row r="102" spans="1:14" ht="12.75" customHeight="1">
      <c r="A102" s="293"/>
      <c r="C102" s="662"/>
      <c r="D102" s="175"/>
      <c r="E102" s="665"/>
      <c r="F102" s="183"/>
      <c r="G102" s="654"/>
      <c r="H102" s="175"/>
      <c r="I102" s="645"/>
      <c r="J102" s="183"/>
      <c r="K102" s="645"/>
      <c r="L102" s="183"/>
      <c r="M102" s="645"/>
      <c r="N102" s="293"/>
    </row>
    <row r="103" spans="1:14" ht="12.75" customHeight="1">
      <c r="A103" s="293"/>
      <c r="C103" s="662"/>
      <c r="D103" s="175"/>
      <c r="E103" s="665"/>
      <c r="F103" s="183"/>
      <c r="G103" s="654"/>
      <c r="H103" s="175"/>
      <c r="I103" s="645"/>
      <c r="J103" s="183"/>
      <c r="K103" s="645"/>
      <c r="L103" s="183"/>
      <c r="M103" s="645"/>
      <c r="N103" s="293"/>
    </row>
    <row r="104" spans="1:14" ht="12.75" customHeight="1">
      <c r="A104" s="293"/>
      <c r="C104" s="662"/>
      <c r="D104" s="175"/>
      <c r="E104" s="665"/>
      <c r="F104" s="183"/>
      <c r="G104" s="654"/>
      <c r="H104" s="175"/>
      <c r="I104" s="645"/>
      <c r="J104" s="183"/>
      <c r="K104" s="645"/>
      <c r="L104" s="183"/>
      <c r="M104" s="645"/>
      <c r="N104" s="293"/>
    </row>
    <row r="105" spans="1:14" ht="12.75" customHeight="1">
      <c r="A105" s="293"/>
      <c r="C105" s="662"/>
      <c r="D105" s="175"/>
      <c r="E105" s="665"/>
      <c r="F105" s="183"/>
      <c r="G105" s="654"/>
      <c r="H105" s="175"/>
      <c r="I105" s="645"/>
      <c r="J105" s="183"/>
      <c r="K105" s="645"/>
      <c r="L105" s="183"/>
      <c r="M105" s="645"/>
      <c r="N105" s="293"/>
    </row>
    <row r="106" spans="1:14" ht="12.75" customHeight="1">
      <c r="A106" s="293"/>
      <c r="C106" s="662"/>
      <c r="D106" s="175"/>
      <c r="E106" s="665"/>
      <c r="F106" s="183"/>
      <c r="G106" s="654"/>
      <c r="H106" s="175"/>
      <c r="I106" s="645"/>
      <c r="J106" s="183"/>
      <c r="K106" s="645"/>
      <c r="L106" s="183"/>
      <c r="M106" s="645"/>
      <c r="N106" s="293"/>
    </row>
    <row r="107" spans="1:14" ht="12.75" customHeight="1" thickBot="1">
      <c r="A107" s="293"/>
      <c r="C107" s="663"/>
      <c r="D107" s="175"/>
      <c r="E107" s="666"/>
      <c r="F107" s="183"/>
      <c r="G107" s="655"/>
      <c r="H107" s="175"/>
      <c r="I107" s="646"/>
      <c r="J107" s="183"/>
      <c r="K107" s="646"/>
      <c r="L107" s="183"/>
      <c r="M107" s="646"/>
      <c r="N107" s="293"/>
    </row>
    <row r="108" spans="1:14" s="233" customFormat="1" ht="12.75" customHeight="1" thickBot="1">
      <c r="A108" s="458"/>
      <c r="B108" s="232"/>
      <c r="C108" s="232"/>
      <c r="D108" s="343"/>
      <c r="E108" s="455"/>
      <c r="F108" s="456"/>
      <c r="G108" s="457"/>
      <c r="H108" s="343"/>
      <c r="I108" s="343"/>
      <c r="J108" s="456"/>
      <c r="K108" s="343"/>
      <c r="L108" s="456"/>
      <c r="M108" s="343"/>
      <c r="N108" s="458"/>
    </row>
    <row r="109" spans="1:14" ht="12.75" customHeight="1" thickBot="1">
      <c r="A109" s="1296" t="s">
        <v>804</v>
      </c>
      <c r="B109" s="1297"/>
      <c r="C109" s="1297"/>
      <c r="D109" s="1297"/>
      <c r="E109" s="1297"/>
      <c r="F109" s="1297"/>
      <c r="G109" s="1297"/>
      <c r="H109" s="1297"/>
      <c r="I109" s="1297"/>
      <c r="J109" s="1297"/>
      <c r="K109" s="1297"/>
      <c r="L109" s="1297"/>
      <c r="M109" s="1297"/>
      <c r="N109" s="1298"/>
    </row>
    <row r="110" spans="1:14" ht="12.75" customHeight="1">
      <c r="A110" s="144"/>
      <c r="B110" s="225" t="s">
        <v>312</v>
      </c>
      <c r="C110" s="231"/>
      <c r="D110" s="302"/>
      <c r="E110" s="303"/>
      <c r="F110" s="304"/>
      <c r="G110" s="305"/>
      <c r="H110" s="302"/>
      <c r="I110" s="302"/>
      <c r="J110" s="304"/>
      <c r="K110" s="302"/>
      <c r="L110" s="304"/>
      <c r="M110" s="311"/>
      <c r="N110" s="196"/>
    </row>
    <row r="111" spans="1:14" ht="12.75" customHeight="1">
      <c r="A111" s="150"/>
      <c r="B111" s="150"/>
      <c r="C111" s="170" t="s">
        <v>643</v>
      </c>
      <c r="D111" s="175"/>
      <c r="E111" s="228"/>
      <c r="F111" s="183"/>
      <c r="G111" s="191">
        <f>SUM(G6:G10)</f>
        <v>0</v>
      </c>
      <c r="H111" s="175"/>
      <c r="I111" s="175"/>
      <c r="J111" s="183"/>
      <c r="K111" s="175"/>
      <c r="L111" s="183"/>
      <c r="M111" s="290"/>
      <c r="N111" s="171"/>
    </row>
    <row r="112" spans="1:14" ht="12.75" customHeight="1">
      <c r="A112" s="150"/>
      <c r="B112" s="150"/>
      <c r="C112" s="170" t="s">
        <v>667</v>
      </c>
      <c r="D112" s="175"/>
      <c r="E112" s="228"/>
      <c r="F112" s="183"/>
      <c r="G112" s="191">
        <f>SUM(G13:G19)</f>
        <v>0</v>
      </c>
      <c r="H112" s="175"/>
      <c r="I112" s="175"/>
      <c r="J112" s="183"/>
      <c r="K112" s="175"/>
      <c r="L112" s="183"/>
      <c r="M112" s="290"/>
      <c r="N112" s="171"/>
    </row>
    <row r="113" spans="1:14" ht="12.75" customHeight="1">
      <c r="A113" s="150"/>
      <c r="B113" s="150"/>
      <c r="C113" s="170" t="s">
        <v>288</v>
      </c>
      <c r="D113" s="175"/>
      <c r="E113" s="228"/>
      <c r="F113" s="183"/>
      <c r="G113" s="191">
        <f>SUM(G22:G31)</f>
        <v>0</v>
      </c>
      <c r="H113" s="175"/>
      <c r="I113" s="175"/>
      <c r="J113" s="183"/>
      <c r="K113" s="175"/>
      <c r="L113" s="183"/>
      <c r="M113" s="290"/>
      <c r="N113" s="171"/>
    </row>
    <row r="114" spans="1:14" ht="12.75" customHeight="1">
      <c r="A114" s="150"/>
      <c r="B114" s="150"/>
      <c r="C114" s="170" t="s">
        <v>668</v>
      </c>
      <c r="D114" s="175"/>
      <c r="E114" s="228"/>
      <c r="F114" s="183"/>
      <c r="G114" s="191">
        <f>SUM(G34:G38)</f>
        <v>0</v>
      </c>
      <c r="H114" s="175"/>
      <c r="I114" s="175"/>
      <c r="J114" s="183"/>
      <c r="K114" s="175"/>
      <c r="L114" s="183"/>
      <c r="M114" s="290"/>
      <c r="N114" s="171"/>
    </row>
    <row r="115" spans="1:14" ht="12.75" customHeight="1">
      <c r="A115" s="150"/>
      <c r="B115" s="150"/>
      <c r="C115" s="170" t="s">
        <v>535</v>
      </c>
      <c r="D115" s="175"/>
      <c r="E115" s="228"/>
      <c r="F115" s="183"/>
      <c r="G115" s="191">
        <f>SUM(G41:G47)</f>
        <v>0</v>
      </c>
      <c r="H115" s="175"/>
      <c r="I115" s="175"/>
      <c r="J115" s="183"/>
      <c r="K115" s="175"/>
      <c r="L115" s="183"/>
      <c r="M115" s="290"/>
      <c r="N115" s="171"/>
    </row>
    <row r="116" spans="1:14" ht="12.75" customHeight="1">
      <c r="A116" s="150"/>
      <c r="B116" s="150"/>
      <c r="C116" s="170" t="s">
        <v>180</v>
      </c>
      <c r="D116" s="175"/>
      <c r="E116" s="228"/>
      <c r="F116" s="183"/>
      <c r="G116" s="191">
        <f>SUM(G51:G57)</f>
        <v>0</v>
      </c>
      <c r="H116" s="175"/>
      <c r="I116" s="175"/>
      <c r="J116" s="183"/>
      <c r="K116" s="175"/>
      <c r="L116" s="183"/>
      <c r="M116" s="290"/>
      <c r="N116" s="171"/>
    </row>
    <row r="117" spans="1:14" ht="12.75" customHeight="1">
      <c r="A117" s="150"/>
      <c r="B117" s="150"/>
      <c r="C117" s="170" t="s">
        <v>536</v>
      </c>
      <c r="D117" s="175"/>
      <c r="E117" s="228"/>
      <c r="F117" s="183"/>
      <c r="G117" s="191">
        <f>SUM(G60:G68)</f>
        <v>0</v>
      </c>
      <c r="H117" s="175"/>
      <c r="I117" s="175"/>
      <c r="J117" s="183"/>
      <c r="K117" s="175"/>
      <c r="L117" s="183"/>
      <c r="M117" s="290"/>
      <c r="N117" s="171"/>
    </row>
    <row r="118" spans="1:14" ht="12.75" customHeight="1">
      <c r="A118" s="150"/>
      <c r="B118" s="150"/>
      <c r="C118" s="170" t="s">
        <v>537</v>
      </c>
      <c r="D118" s="175"/>
      <c r="E118" s="228"/>
      <c r="F118" s="186" t="s">
        <v>121</v>
      </c>
      <c r="G118" s="284">
        <f>SUM(G71:G76)</f>
        <v>0</v>
      </c>
      <c r="H118" s="175"/>
      <c r="I118" s="175"/>
      <c r="J118" s="183"/>
      <c r="K118" s="175"/>
      <c r="L118" s="183"/>
      <c r="M118" s="290"/>
      <c r="N118" s="171"/>
    </row>
    <row r="119" spans="1:14" ht="12.75" customHeight="1">
      <c r="A119" s="150"/>
      <c r="B119" s="150" t="s">
        <v>71</v>
      </c>
      <c r="C119" s="175"/>
      <c r="D119" s="175"/>
      <c r="E119" s="228"/>
      <c r="F119" s="183"/>
      <c r="G119" s="298">
        <f>SUM(G111:G118)</f>
        <v>0</v>
      </c>
      <c r="H119" s="175"/>
      <c r="I119" s="175"/>
      <c r="J119" s="183"/>
      <c r="K119" s="175"/>
      <c r="L119" s="183"/>
      <c r="M119" s="290"/>
      <c r="N119" s="171"/>
    </row>
    <row r="120" spans="1:14" ht="12.75" customHeight="1">
      <c r="A120" s="150"/>
      <c r="B120" s="211"/>
      <c r="C120" s="197"/>
      <c r="D120" s="180"/>
      <c r="E120" s="280"/>
      <c r="F120" s="181"/>
      <c r="G120" s="284"/>
      <c r="H120" s="180"/>
      <c r="I120" s="180"/>
      <c r="J120" s="181"/>
      <c r="K120" s="180"/>
      <c r="L120" s="181"/>
      <c r="M120" s="306"/>
      <c r="N120" s="171"/>
    </row>
    <row r="121" spans="1:14" ht="12.75" customHeight="1">
      <c r="A121" s="150"/>
      <c r="B121" s="224" t="s">
        <v>313</v>
      </c>
      <c r="C121" s="170"/>
      <c r="D121" s="175"/>
      <c r="E121" s="228"/>
      <c r="F121" s="183"/>
      <c r="G121" s="191"/>
      <c r="H121" s="175"/>
      <c r="I121" s="175"/>
      <c r="J121" s="183"/>
      <c r="K121" s="175"/>
      <c r="L121" s="183"/>
      <c r="M121" s="290"/>
      <c r="N121" s="171"/>
    </row>
    <row r="122" spans="1:21" ht="12.75" customHeight="1">
      <c r="A122" s="150"/>
      <c r="B122" s="150"/>
      <c r="C122" s="170" t="s">
        <v>298</v>
      </c>
      <c r="D122" s="175"/>
      <c r="E122" s="228"/>
      <c r="F122" s="183"/>
      <c r="G122" s="191">
        <f>SUM(G82:G89)</f>
        <v>0</v>
      </c>
      <c r="H122" s="175"/>
      <c r="I122" s="175"/>
      <c r="J122" s="183"/>
      <c r="K122" s="175"/>
      <c r="L122" s="183"/>
      <c r="M122" s="290"/>
      <c r="N122" s="171"/>
      <c r="P122" t="s">
        <v>314</v>
      </c>
      <c r="Q122" t="s">
        <v>219</v>
      </c>
      <c r="R122" t="s">
        <v>213</v>
      </c>
      <c r="S122" t="s">
        <v>300</v>
      </c>
      <c r="T122" t="s">
        <v>322</v>
      </c>
      <c r="U122" t="s">
        <v>297</v>
      </c>
    </row>
    <row r="123" spans="1:21" ht="12.75" customHeight="1">
      <c r="A123" s="150"/>
      <c r="B123" s="150"/>
      <c r="C123" s="170" t="s">
        <v>331</v>
      </c>
      <c r="D123" s="175"/>
      <c r="E123" s="228"/>
      <c r="F123" s="186" t="s">
        <v>121</v>
      </c>
      <c r="G123" s="284">
        <f>SUM(G92:G107)</f>
        <v>0</v>
      </c>
      <c r="H123" s="175"/>
      <c r="I123" s="175"/>
      <c r="J123" s="183"/>
      <c r="K123" s="175"/>
      <c r="L123" s="183"/>
      <c r="M123" s="290"/>
      <c r="N123" s="171"/>
      <c r="P123" t="s">
        <v>116</v>
      </c>
      <c r="Q123" t="s">
        <v>220</v>
      </c>
      <c r="R123" t="s">
        <v>292</v>
      </c>
      <c r="S123" t="s">
        <v>301</v>
      </c>
      <c r="T123" t="s">
        <v>323</v>
      </c>
      <c r="U123" t="s">
        <v>326</v>
      </c>
    </row>
    <row r="124" spans="1:21" ht="12.75" customHeight="1">
      <c r="A124" s="150"/>
      <c r="B124" s="150" t="s">
        <v>71</v>
      </c>
      <c r="C124" s="170"/>
      <c r="D124" s="175"/>
      <c r="E124" s="228"/>
      <c r="F124" s="183"/>
      <c r="G124" s="298">
        <f>SUM(G122:G123)</f>
        <v>0</v>
      </c>
      <c r="H124" s="175"/>
      <c r="I124" s="175"/>
      <c r="J124" s="183"/>
      <c r="K124" s="175"/>
      <c r="L124" s="183"/>
      <c r="M124" s="290"/>
      <c r="N124" s="171"/>
      <c r="Q124" t="s">
        <v>185</v>
      </c>
      <c r="R124" t="s">
        <v>294</v>
      </c>
      <c r="S124" t="s">
        <v>302</v>
      </c>
      <c r="T124" t="s">
        <v>324</v>
      </c>
      <c r="U124" t="s">
        <v>650</v>
      </c>
    </row>
    <row r="125" spans="1:21" ht="12.75" customHeight="1">
      <c r="A125" s="150"/>
      <c r="B125" s="211"/>
      <c r="C125" s="197"/>
      <c r="D125" s="180"/>
      <c r="E125" s="280"/>
      <c r="F125" s="181"/>
      <c r="G125" s="284"/>
      <c r="H125" s="180"/>
      <c r="I125" s="180"/>
      <c r="J125" s="181"/>
      <c r="K125" s="180"/>
      <c r="L125" s="181"/>
      <c r="M125" s="306"/>
      <c r="N125" s="171"/>
      <c r="Q125" t="s">
        <v>296</v>
      </c>
      <c r="R125" t="s">
        <v>293</v>
      </c>
      <c r="S125" t="s">
        <v>303</v>
      </c>
      <c r="T125" t="s">
        <v>1</v>
      </c>
      <c r="U125" t="s">
        <v>327</v>
      </c>
    </row>
    <row r="126" spans="1:21" ht="12.75" customHeight="1">
      <c r="A126" s="150"/>
      <c r="B126" s="224" t="s">
        <v>332</v>
      </c>
      <c r="C126" s="170"/>
      <c r="D126" s="175"/>
      <c r="E126" s="228"/>
      <c r="F126" s="183"/>
      <c r="G126" s="191">
        <f>G119-G124</f>
        <v>0</v>
      </c>
      <c r="H126" s="175"/>
      <c r="I126" s="175"/>
      <c r="J126" s="312">
        <v>0</v>
      </c>
      <c r="K126" s="175"/>
      <c r="L126" s="183"/>
      <c r="M126" s="290"/>
      <c r="N126" s="171"/>
      <c r="R126" t="s">
        <v>295</v>
      </c>
      <c r="S126" t="s">
        <v>289</v>
      </c>
      <c r="T126" t="s">
        <v>325</v>
      </c>
      <c r="U126" t="s">
        <v>328</v>
      </c>
    </row>
    <row r="127" spans="1:21" ht="12.75" customHeight="1" thickBot="1">
      <c r="A127" s="163"/>
      <c r="B127" s="163" t="s">
        <v>805</v>
      </c>
      <c r="C127" s="226"/>
      <c r="D127" s="226"/>
      <c r="E127" s="282"/>
      <c r="F127" s="227"/>
      <c r="G127" s="286"/>
      <c r="H127" s="226"/>
      <c r="I127" s="226"/>
      <c r="J127" s="227"/>
      <c r="K127" s="226"/>
      <c r="L127" s="227"/>
      <c r="M127" s="301"/>
      <c r="N127" s="174"/>
      <c r="R127" t="s">
        <v>384</v>
      </c>
      <c r="S127" t="s">
        <v>304</v>
      </c>
      <c r="T127" t="s">
        <v>70</v>
      </c>
      <c r="U127" t="s">
        <v>329</v>
      </c>
    </row>
    <row r="128" spans="19:21" ht="12.75" customHeight="1">
      <c r="S128" t="s">
        <v>305</v>
      </c>
      <c r="U128" t="s">
        <v>70</v>
      </c>
    </row>
    <row r="129" spans="17:19" ht="12.75" customHeight="1">
      <c r="Q129" t="s">
        <v>648</v>
      </c>
      <c r="S129" t="s">
        <v>306</v>
      </c>
    </row>
    <row r="130" spans="17:19" ht="12.75">
      <c r="Q130" t="s">
        <v>632</v>
      </c>
      <c r="S130" t="s">
        <v>307</v>
      </c>
    </row>
    <row r="131" spans="17:19" ht="12.75">
      <c r="Q131" t="s">
        <v>633</v>
      </c>
      <c r="S131" t="s">
        <v>308</v>
      </c>
    </row>
    <row r="132" spans="17:19" ht="12.75">
      <c r="Q132" t="s">
        <v>634</v>
      </c>
      <c r="S132" t="s">
        <v>309</v>
      </c>
    </row>
    <row r="133" spans="17:19" ht="12.75">
      <c r="Q133" t="s">
        <v>383</v>
      </c>
      <c r="S133" t="s">
        <v>310</v>
      </c>
    </row>
    <row r="134" ht="12.75">
      <c r="S134" t="s">
        <v>632</v>
      </c>
    </row>
    <row r="135" ht="12.75">
      <c r="S135" t="s">
        <v>633</v>
      </c>
    </row>
    <row r="136" ht="12.75">
      <c r="S136" t="s">
        <v>634</v>
      </c>
    </row>
    <row r="137" ht="12.75">
      <c r="S137" t="s">
        <v>383</v>
      </c>
    </row>
  </sheetData>
  <sheetProtection/>
  <mergeCells count="8">
    <mergeCell ref="B70:C70"/>
    <mergeCell ref="A109:N109"/>
    <mergeCell ref="B2:M2"/>
    <mergeCell ref="A1:N1"/>
    <mergeCell ref="B21:C21"/>
    <mergeCell ref="B5:C5"/>
    <mergeCell ref="B11:C11"/>
    <mergeCell ref="J80:L80"/>
  </mergeCells>
  <conditionalFormatting sqref="G126">
    <cfRule type="cellIs" priority="1" dxfId="0" operator="greaterThan" stopIfTrue="1">
      <formula>$J$126</formula>
    </cfRule>
    <cfRule type="cellIs" priority="2" dxfId="2" operator="lessThan" stopIfTrue="1">
      <formula>$J$126</formula>
    </cfRule>
  </conditionalFormatting>
  <dataValidations count="7">
    <dataValidation type="list" allowBlank="1" showInputMessage="1" showErrorMessage="1" sqref="I82:I89 I41:I47 I51:I57 I60:I68 I71:I76 I22:I31 I92:I108 I13:I19 I6:I10 I34:I38">
      <formula1>$Q$121:$Q$125</formula1>
    </dataValidation>
    <dataValidation type="list" allowBlank="1" showInputMessage="1" showErrorMessage="1" sqref="K92:K108 K22:K31 K82:K89 K41:K47 K13:K19 K6:K10 K34:K38">
      <formula1>$P$121:$P$123</formula1>
    </dataValidation>
    <dataValidation type="list" allowBlank="1" showInputMessage="1" showErrorMessage="1" sqref="M92:M108">
      <formula1>$T$121:$T$127</formula1>
    </dataValidation>
    <dataValidation type="list" allowBlank="1" showInputMessage="1" showErrorMessage="1" sqref="M82:M89">
      <formula1>$U$121:$U$128</formula1>
    </dataValidation>
    <dataValidation type="list" allowBlank="1" showInputMessage="1" showErrorMessage="1" sqref="E41:E47 E22:E31 E13:E19 E6:E10">
      <formula1>$R$121:$R$127</formula1>
    </dataValidation>
    <dataValidation type="list" allowBlank="1" showInputMessage="1" showErrorMessage="1" sqref="M22:M31">
      <formula1>$S$121:$S$137</formula1>
    </dataValidation>
    <dataValidation type="list" allowBlank="1" showInputMessage="1" showErrorMessage="1" sqref="M34:M38">
      <formula1>$Q$128:$Q$133</formula1>
    </dataValidation>
  </dataValidations>
  <printOptions horizontalCentered="1"/>
  <pageMargins left="0.75" right="0.75" top="0.75" bottom="0.75" header="0.5" footer="0.5"/>
  <pageSetup horizontalDpi="300" verticalDpi="300" orientation="landscape" r:id="rId3"/>
  <headerFooter alignWithMargins="0">
    <oddFooter>&amp;LBalance Sheet&amp;R&amp;P</oddFooter>
  </headerFooter>
  <rowBreaks count="1" manualBreakCount="1">
    <brk id="108" max="255" man="1"/>
  </rowBreaks>
  <legacyDrawing r:id="rId2"/>
</worksheet>
</file>

<file path=xl/worksheets/sheet7.xml><?xml version="1.0" encoding="utf-8"?>
<worksheet xmlns="http://schemas.openxmlformats.org/spreadsheetml/2006/main" xmlns:r="http://schemas.openxmlformats.org/officeDocument/2006/relationships">
  <sheetPr codeName="Sheet7">
    <tabColor indexed="8"/>
  </sheetPr>
  <dimension ref="A1:N80"/>
  <sheetViews>
    <sheetView zoomScalePageLayoutView="0" workbookViewId="0" topLeftCell="A1">
      <selection activeCell="E8" sqref="E8"/>
    </sheetView>
  </sheetViews>
  <sheetFormatPr defaultColWidth="9.140625" defaultRowHeight="12.75"/>
  <cols>
    <col min="1" max="1" width="3.7109375" style="11" customWidth="1"/>
    <col min="2" max="2" width="16.7109375" style="11" customWidth="1"/>
    <col min="3" max="3" width="8.7109375" style="11" customWidth="1"/>
    <col min="4" max="5" width="12.7109375" style="65" customWidth="1"/>
    <col min="6" max="7" width="4.7109375" style="11" customWidth="1"/>
    <col min="8" max="8" width="9.7109375" style="11" customWidth="1"/>
    <col min="9" max="9" width="12.7109375" style="11" customWidth="1"/>
    <col min="10" max="10" width="3.7109375" style="11" customWidth="1"/>
    <col min="11" max="12" width="9.140625" style="11" customWidth="1"/>
    <col min="13" max="14" width="0" style="11" hidden="1" customWidth="1"/>
    <col min="15" max="16384" width="9.140625" style="11" customWidth="1"/>
  </cols>
  <sheetData>
    <row r="1" spans="1:12" ht="13.5" thickBot="1">
      <c r="A1" s="1240" t="s">
        <v>671</v>
      </c>
      <c r="B1" s="1241"/>
      <c r="C1" s="1241"/>
      <c r="D1" s="1241"/>
      <c r="E1" s="1241"/>
      <c r="F1" s="1241"/>
      <c r="G1" s="1241"/>
      <c r="H1" s="1241"/>
      <c r="I1" s="1241"/>
      <c r="J1" s="1242"/>
      <c r="K1" s="202"/>
      <c r="L1" s="202"/>
    </row>
    <row r="2" spans="1:10" ht="13.5" thickBot="1">
      <c r="A2" s="348"/>
      <c r="B2" s="1241">
        <f>'Client Info'!E2</f>
        <v>2010</v>
      </c>
      <c r="C2" s="1241"/>
      <c r="D2" s="1241"/>
      <c r="E2" s="1241"/>
      <c r="F2" s="1241"/>
      <c r="G2" s="1241"/>
      <c r="H2" s="1241"/>
      <c r="I2" s="1241"/>
      <c r="J2" s="426"/>
    </row>
    <row r="3" spans="1:10" ht="13.5" thickBot="1">
      <c r="A3" s="349"/>
      <c r="B3" s="1240" t="s">
        <v>577</v>
      </c>
      <c r="C3" s="1241"/>
      <c r="D3" s="1241"/>
      <c r="E3" s="1241"/>
      <c r="F3" s="1241"/>
      <c r="G3" s="1241"/>
      <c r="H3" s="1241"/>
      <c r="I3" s="1242"/>
      <c r="J3" s="428"/>
    </row>
    <row r="4" spans="1:10" ht="13.5" thickBot="1">
      <c r="A4" s="349"/>
      <c r="B4" s="104" t="str">
        <f>IF(D6&lt;1,"Please calculate your Adjusted Earned Income on the Income Statement before beginning this worksheet","")</f>
        <v>Please calculate your Adjusted Earned Income on the Income Statement before beginning this worksheet</v>
      </c>
      <c r="C4" s="10"/>
      <c r="F4" s="9"/>
      <c r="G4" s="10"/>
      <c r="H4" s="10"/>
      <c r="I4" s="10"/>
      <c r="J4" s="349"/>
    </row>
    <row r="5" spans="1:10" ht="12.75">
      <c r="A5" s="349"/>
      <c r="B5" s="10" t="s">
        <v>806</v>
      </c>
      <c r="D5" s="517" t="s">
        <v>219</v>
      </c>
      <c r="E5" s="518" t="s">
        <v>220</v>
      </c>
      <c r="F5" s="9"/>
      <c r="G5" s="1304" t="s">
        <v>216</v>
      </c>
      <c r="H5" s="1305"/>
      <c r="I5" s="10"/>
      <c r="J5" s="349"/>
    </row>
    <row r="6" spans="1:10" ht="13.5" thickBot="1">
      <c r="A6" s="349"/>
      <c r="B6" s="10"/>
      <c r="C6" s="10"/>
      <c r="D6" s="513">
        <f>'Dedicated Exp'!F10</f>
        <v>0</v>
      </c>
      <c r="E6" s="514">
        <f>'Dedicated Exp'!G10</f>
        <v>0</v>
      </c>
      <c r="F6" s="9"/>
      <c r="G6" s="1308">
        <f>D6+E6</f>
        <v>0</v>
      </c>
      <c r="H6" s="1309"/>
      <c r="I6" s="10"/>
      <c r="J6" s="349"/>
    </row>
    <row r="7" spans="1:10" ht="13.5" thickBot="1">
      <c r="A7" s="349"/>
      <c r="B7" s="10"/>
      <c r="C7" s="10"/>
      <c r="D7" s="104" t="str">
        <f>IF(OR(E8&gt;4,E8&lt;1),"Please enter valid filing status number","")</f>
        <v>Please enter valid filing status number</v>
      </c>
      <c r="E7" s="101"/>
      <c r="F7" s="9"/>
      <c r="G7" s="10"/>
      <c r="H7" s="10"/>
      <c r="I7" s="10"/>
      <c r="J7" s="349"/>
    </row>
    <row r="8" spans="1:10" ht="13.5" thickBot="1">
      <c r="A8" s="349"/>
      <c r="B8" s="10" t="s">
        <v>75</v>
      </c>
      <c r="C8" s="10"/>
      <c r="D8" s="249">
        <f>IF(E8="","",VLOOKUP($E$8,$M$10:$N$15,2))</f>
      </c>
      <c r="E8" s="548"/>
      <c r="F8" s="9"/>
      <c r="G8" s="504"/>
      <c r="H8" s="504"/>
      <c r="I8" s="505"/>
      <c r="J8" s="349"/>
    </row>
    <row r="9" spans="1:10" ht="13.5" thickBot="1">
      <c r="A9" s="349"/>
      <c r="B9" s="10"/>
      <c r="C9" s="10"/>
      <c r="D9" s="249"/>
      <c r="E9" s="667"/>
      <c r="F9" s="9"/>
      <c r="G9" s="504"/>
      <c r="H9" s="504"/>
      <c r="I9" s="505"/>
      <c r="J9" s="349"/>
    </row>
    <row r="10" spans="1:14" ht="13.5" thickBot="1">
      <c r="A10" s="349"/>
      <c r="B10" s="10" t="s">
        <v>694</v>
      </c>
      <c r="C10" s="10"/>
      <c r="D10" s="75"/>
      <c r="E10" s="549"/>
      <c r="F10" s="10"/>
      <c r="I10" s="508"/>
      <c r="J10" s="349"/>
      <c r="M10" s="506">
        <v>1</v>
      </c>
      <c r="N10" s="507" t="s">
        <v>76</v>
      </c>
    </row>
    <row r="11" spans="1:14" ht="12.75">
      <c r="A11" s="349"/>
      <c r="B11" s="10"/>
      <c r="C11" s="10"/>
      <c r="D11" s="75"/>
      <c r="E11" s="443"/>
      <c r="F11" s="10"/>
      <c r="I11" s="508"/>
      <c r="J11" s="349"/>
      <c r="M11" s="506"/>
      <c r="N11" s="507"/>
    </row>
    <row r="12" spans="1:14" ht="12.75">
      <c r="A12" s="349"/>
      <c r="B12" s="10" t="s">
        <v>811</v>
      </c>
      <c r="C12" s="10"/>
      <c r="D12" s="75"/>
      <c r="E12" s="443">
        <f>G6-E10</f>
        <v>0</v>
      </c>
      <c r="F12" s="10"/>
      <c r="I12" s="508"/>
      <c r="J12" s="349"/>
      <c r="M12" s="506"/>
      <c r="N12" s="507"/>
    </row>
    <row r="13" spans="1:14" ht="12.75">
      <c r="A13" s="349"/>
      <c r="B13" s="10"/>
      <c r="C13" s="10"/>
      <c r="D13" s="75"/>
      <c r="E13" s="75"/>
      <c r="F13" s="10"/>
      <c r="I13" s="508"/>
      <c r="J13" s="349"/>
      <c r="M13" s="506">
        <v>2</v>
      </c>
      <c r="N13" s="507" t="s">
        <v>77</v>
      </c>
    </row>
    <row r="14" spans="1:14" ht="13.5" thickBot="1">
      <c r="A14" s="349"/>
      <c r="B14" s="10" t="s">
        <v>693</v>
      </c>
      <c r="C14" s="10"/>
      <c r="D14" s="70" t="s">
        <v>80</v>
      </c>
      <c r="E14" s="70" t="s">
        <v>83</v>
      </c>
      <c r="F14" s="10"/>
      <c r="J14" s="349"/>
      <c r="M14" s="506">
        <v>3</v>
      </c>
      <c r="N14" s="507" t="s">
        <v>79</v>
      </c>
    </row>
    <row r="15" spans="1:14" ht="13.5" thickBot="1">
      <c r="A15" s="349"/>
      <c r="B15" s="10"/>
      <c r="C15" s="10"/>
      <c r="D15" s="443">
        <f>IF(E8="","",VLOOKUP($E$8,'Income Tax Sch'!G8:H11,2,0)+IF('Client Info'!D6&gt;=65,VLOOKUP($E$8,'Income Tax Sch'!G15:H18,2))+IF('Client Info'!H6&gt;=65,VLOOKUP($E$8,'Income Tax Sch'!G15:H18,2)))</f>
      </c>
      <c r="E15" s="549"/>
      <c r="F15" s="10"/>
      <c r="J15" s="349"/>
      <c r="M15" s="506">
        <v>4</v>
      </c>
      <c r="N15" s="507" t="s">
        <v>81</v>
      </c>
    </row>
    <row r="16" spans="1:10" ht="13.5" thickBot="1">
      <c r="A16" s="349"/>
      <c r="B16" s="10"/>
      <c r="C16" s="70"/>
      <c r="D16" s="101"/>
      <c r="E16" s="46"/>
      <c r="F16" s="10"/>
      <c r="G16" s="10"/>
      <c r="H16" s="10"/>
      <c r="I16" s="10"/>
      <c r="J16" s="349"/>
    </row>
    <row r="17" spans="1:12" ht="15.75" thickBot="1">
      <c r="A17" s="349"/>
      <c r="B17" s="8" t="s">
        <v>695</v>
      </c>
      <c r="C17" s="10"/>
      <c r="D17" s="71" t="s">
        <v>197</v>
      </c>
      <c r="E17" s="548"/>
      <c r="F17" s="10"/>
      <c r="G17" s="10"/>
      <c r="H17" s="205" t="s">
        <v>198</v>
      </c>
      <c r="I17" s="509">
        <f>'Tax Exemption Sch'!F3</f>
        <v>0</v>
      </c>
      <c r="J17" s="349"/>
      <c r="L17" s="668"/>
    </row>
    <row r="18" spans="1:12" ht="15.75" thickBot="1">
      <c r="A18" s="349"/>
      <c r="B18" s="10"/>
      <c r="C18" s="10"/>
      <c r="D18" s="75"/>
      <c r="E18" s="101"/>
      <c r="F18" s="10"/>
      <c r="G18" s="10"/>
      <c r="H18" s="10"/>
      <c r="I18" s="10"/>
      <c r="J18" s="349"/>
      <c r="L18" s="668"/>
    </row>
    <row r="19" spans="1:12" ht="15.75" thickBot="1">
      <c r="A19" s="349"/>
      <c r="B19" s="10" t="s">
        <v>810</v>
      </c>
      <c r="C19" s="10"/>
      <c r="D19" s="75"/>
      <c r="E19" s="523">
        <f>MAX(E12-MAX(D15,E15)-I17,0)</f>
        <v>0</v>
      </c>
      <c r="F19" s="10"/>
      <c r="G19" s="10"/>
      <c r="H19" s="57" t="s">
        <v>85</v>
      </c>
      <c r="I19" s="425">
        <f>IF(E8="","",IF(E8=1,VLOOKUP(E19,'Income Tax Sch'!B6:D11,3),IF(E8=2,VLOOKUP(E19,'Income Tax Sch'!B16:D21,3),IF(E8=3,VLOOKUP(E19,'Income Tax Sch'!B26:D31,3),IF(E8=4,VLOOKUP(E19,'Income Tax Sch'!B36:D41,3),NA())))))</f>
      </c>
      <c r="J19" s="349"/>
      <c r="L19" s="668"/>
    </row>
    <row r="20" spans="1:13" ht="45">
      <c r="A20" s="349"/>
      <c r="B20" s="10"/>
      <c r="C20" s="10"/>
      <c r="D20" s="75"/>
      <c r="E20" s="101"/>
      <c r="F20" s="10"/>
      <c r="G20" s="10"/>
      <c r="J20" s="349"/>
      <c r="L20" s="668"/>
      <c r="M20" s="669" t="s">
        <v>703</v>
      </c>
    </row>
    <row r="21" spans="1:13" ht="45">
      <c r="A21" s="349"/>
      <c r="B21" s="10" t="s">
        <v>429</v>
      </c>
      <c r="C21" s="10"/>
      <c r="D21" s="75"/>
      <c r="E21" s="511">
        <f>IF(E8="","",MAX(0,IF(E8=1,'Income Tax Sch'!D4,IF(E8=2,'Income Tax Sch'!D14,IF(E8=3,'Income Tax Sch'!D24,IF(E8=4,'Income Tax Sch'!D34,NA()))))))</f>
      </c>
      <c r="F21" s="10"/>
      <c r="G21" s="10"/>
      <c r="H21" s="10"/>
      <c r="I21" s="10"/>
      <c r="J21" s="349"/>
      <c r="L21" s="668"/>
      <c r="M21" s="669" t="s">
        <v>704</v>
      </c>
    </row>
    <row r="22" spans="1:13" ht="45.75" thickBot="1">
      <c r="A22" s="349"/>
      <c r="B22" s="10"/>
      <c r="C22" s="10"/>
      <c r="D22" s="75"/>
      <c r="E22" s="510"/>
      <c r="F22" s="10"/>
      <c r="G22" s="10"/>
      <c r="H22" s="10"/>
      <c r="I22" s="10"/>
      <c r="J22" s="349"/>
      <c r="L22" s="668"/>
      <c r="M22" s="669" t="s">
        <v>705</v>
      </c>
    </row>
    <row r="23" spans="1:13" ht="45.75" thickBot="1">
      <c r="A23" s="349"/>
      <c r="B23" s="10" t="s">
        <v>428</v>
      </c>
      <c r="C23" s="10"/>
      <c r="D23" s="75"/>
      <c r="E23" s="670"/>
      <c r="F23" s="10"/>
      <c r="G23" s="10"/>
      <c r="J23" s="349"/>
      <c r="L23" s="668"/>
      <c r="M23" s="669" t="s">
        <v>706</v>
      </c>
    </row>
    <row r="24" spans="1:13" ht="45.75" thickBot="1">
      <c r="A24" s="349"/>
      <c r="B24" s="10" t="s">
        <v>430</v>
      </c>
      <c r="C24" s="10"/>
      <c r="D24" s="75"/>
      <c r="E24" s="449">
        <f>IF(E21="",0,E21-E23)</f>
        <v>0</v>
      </c>
      <c r="F24" s="10"/>
      <c r="G24" s="10"/>
      <c r="H24" s="57" t="s">
        <v>277</v>
      </c>
      <c r="I24" s="425">
        <f>IF(E8="","",E24/G6)</f>
      </c>
      <c r="J24" s="349"/>
      <c r="L24" s="668"/>
      <c r="M24" s="669" t="s">
        <v>707</v>
      </c>
    </row>
    <row r="25" spans="1:13" ht="15">
      <c r="A25" s="349"/>
      <c r="B25" s="10"/>
      <c r="C25" s="10"/>
      <c r="D25" s="75"/>
      <c r="E25" s="1220"/>
      <c r="F25" s="10"/>
      <c r="G25" s="10"/>
      <c r="H25" s="57"/>
      <c r="I25" s="1221"/>
      <c r="J25" s="349"/>
      <c r="L25" s="668"/>
      <c r="M25" s="669"/>
    </row>
    <row r="26" spans="1:13" ht="15">
      <c r="A26" s="349"/>
      <c r="B26" s="1222" t="s">
        <v>809</v>
      </c>
      <c r="C26" s="10"/>
      <c r="D26" s="75"/>
      <c r="E26" s="1220"/>
      <c r="F26" s="10"/>
      <c r="G26" s="10"/>
      <c r="H26" s="57"/>
      <c r="I26" s="1221"/>
      <c r="J26" s="349"/>
      <c r="L26" s="668"/>
      <c r="M26" s="669"/>
    </row>
    <row r="27" spans="1:13" ht="45.75" thickBot="1">
      <c r="A27" s="349"/>
      <c r="B27" s="1222" t="s">
        <v>808</v>
      </c>
      <c r="C27" s="10"/>
      <c r="D27" s="75"/>
      <c r="E27" s="387"/>
      <c r="F27" s="10"/>
      <c r="G27" s="10"/>
      <c r="H27" s="10"/>
      <c r="I27" s="10"/>
      <c r="J27" s="349"/>
      <c r="L27" s="668"/>
      <c r="M27" s="669" t="s">
        <v>708</v>
      </c>
    </row>
    <row r="28" spans="1:13" ht="45.75" thickBot="1">
      <c r="A28" s="349"/>
      <c r="B28" s="1240" t="s">
        <v>698</v>
      </c>
      <c r="C28" s="1241"/>
      <c r="D28" s="1241"/>
      <c r="E28" s="1241"/>
      <c r="F28" s="1241"/>
      <c r="G28" s="1241"/>
      <c r="H28" s="1241"/>
      <c r="I28" s="1241"/>
      <c r="J28" s="428"/>
      <c r="L28" s="668"/>
      <c r="M28" s="669" t="s">
        <v>709</v>
      </c>
    </row>
    <row r="29" spans="1:13" ht="45.75" thickBot="1">
      <c r="A29" s="349"/>
      <c r="B29" s="21"/>
      <c r="C29" s="38"/>
      <c r="D29" s="10"/>
      <c r="E29" s="105"/>
      <c r="F29" s="55"/>
      <c r="G29" s="55"/>
      <c r="H29" s="55"/>
      <c r="I29" s="55"/>
      <c r="J29" s="273"/>
      <c r="L29" s="668"/>
      <c r="M29" s="669" t="s">
        <v>710</v>
      </c>
    </row>
    <row r="30" spans="1:13" ht="45">
      <c r="A30" s="349"/>
      <c r="B30" s="236" t="s">
        <v>696</v>
      </c>
      <c r="C30" s="70"/>
      <c r="D30" s="517" t="s">
        <v>219</v>
      </c>
      <c r="E30" s="518" t="s">
        <v>220</v>
      </c>
      <c r="F30" s="70"/>
      <c r="G30" s="1304" t="s">
        <v>216</v>
      </c>
      <c r="H30" s="1305"/>
      <c r="I30" s="70"/>
      <c r="J30" s="351"/>
      <c r="L30" s="668"/>
      <c r="M30" s="669" t="s">
        <v>711</v>
      </c>
    </row>
    <row r="31" spans="1:13" ht="45.75" thickBot="1">
      <c r="A31" s="349"/>
      <c r="B31" s="236"/>
      <c r="D31" s="515">
        <f>'Inc Stmt'!$F$8-(SUM('Dedicated Exp'!F6:F9))</f>
        <v>0</v>
      </c>
      <c r="E31" s="516">
        <f>'Inc Stmt'!$G$8-(SUM('Dedicated Exp'!G6:G9))</f>
        <v>0</v>
      </c>
      <c r="F31" s="10"/>
      <c r="G31" s="30"/>
      <c r="H31" s="519">
        <f>D31+E31</f>
        <v>0</v>
      </c>
      <c r="J31" s="349"/>
      <c r="L31" s="668"/>
      <c r="M31" s="669" t="s">
        <v>712</v>
      </c>
    </row>
    <row r="32" spans="1:13" ht="45.75" thickBot="1">
      <c r="A32" s="349"/>
      <c r="B32" s="236"/>
      <c r="C32" s="10"/>
      <c r="D32" s="75"/>
      <c r="F32" s="10"/>
      <c r="G32" s="10"/>
      <c r="H32" s="10"/>
      <c r="I32" s="10"/>
      <c r="J32" s="349"/>
      <c r="L32" s="668"/>
      <c r="M32" s="669" t="s">
        <v>713</v>
      </c>
    </row>
    <row r="33" spans="1:13" ht="45.75" thickBot="1">
      <c r="A33" s="349"/>
      <c r="B33" s="236" t="s">
        <v>697</v>
      </c>
      <c r="D33" s="443">
        <f>MAX(0,IF($D$31&gt;'Income Tax Sch'!$H$21,(($D$31-'Income Tax Sch'!$H$21)*'Income Tax Sch'!$G$22)+('Income Tax Sch'!$H$21*'Income Tax Sch'!$G$23),($D$31*'Income Tax Sch'!$G$23)))</f>
        <v>0</v>
      </c>
      <c r="E33" s="443">
        <f>MAX(0,IF($E$31&gt;'Income Tax Sch'!$H$21,(($E$31-'Income Tax Sch'!$H$21)*'Income Tax Sch'!$G$22)+('Income Tax Sch'!$H$21*'Income Tax Sch'!$G$23),($E$31*'Income Tax Sch'!$G$23)))</f>
        <v>0</v>
      </c>
      <c r="F33" s="10"/>
      <c r="G33" s="1310">
        <f>D33+E33</f>
        <v>0</v>
      </c>
      <c r="H33" s="1311"/>
      <c r="J33" s="349"/>
      <c r="L33" s="668"/>
      <c r="M33" s="669" t="s">
        <v>714</v>
      </c>
    </row>
    <row r="34" spans="1:13" ht="45">
      <c r="A34" s="349"/>
      <c r="B34" s="10"/>
      <c r="C34" s="10"/>
      <c r="D34" s="75"/>
      <c r="F34" s="10"/>
      <c r="G34" s="10"/>
      <c r="H34" s="10"/>
      <c r="I34" s="10"/>
      <c r="J34" s="349"/>
      <c r="L34" s="668"/>
      <c r="M34" s="669" t="s">
        <v>715</v>
      </c>
    </row>
    <row r="35" spans="1:13" ht="45.75" thickBot="1">
      <c r="A35" s="349"/>
      <c r="B35" s="250" t="s">
        <v>807</v>
      </c>
      <c r="C35" s="10"/>
      <c r="D35" s="75"/>
      <c r="E35" s="75"/>
      <c r="F35" s="10"/>
      <c r="G35" s="10"/>
      <c r="H35" s="10"/>
      <c r="I35" s="10"/>
      <c r="J35" s="349"/>
      <c r="L35" s="668"/>
      <c r="M35" s="669" t="s">
        <v>716</v>
      </c>
    </row>
    <row r="36" spans="1:13" ht="45.75" thickBot="1">
      <c r="A36" s="349"/>
      <c r="B36" s="1240" t="s">
        <v>192</v>
      </c>
      <c r="C36" s="1241"/>
      <c r="D36" s="1241"/>
      <c r="E36" s="1241"/>
      <c r="F36" s="1241"/>
      <c r="G36" s="1241"/>
      <c r="H36" s="1241"/>
      <c r="I36" s="1241"/>
      <c r="J36" s="428"/>
      <c r="L36" s="668"/>
      <c r="M36" s="669" t="s">
        <v>717</v>
      </c>
    </row>
    <row r="37" spans="1:13" ht="45.75" thickBot="1">
      <c r="A37" s="349"/>
      <c r="B37" s="251" t="s">
        <v>193</v>
      </c>
      <c r="C37" s="671"/>
      <c r="D37" s="55"/>
      <c r="E37" s="55"/>
      <c r="F37" s="55"/>
      <c r="G37" s="204" t="s">
        <v>194</v>
      </c>
      <c r="H37" s="672"/>
      <c r="I37" s="55"/>
      <c r="J37" s="273"/>
      <c r="L37" s="668"/>
      <c r="M37" s="669" t="s">
        <v>718</v>
      </c>
    </row>
    <row r="38" spans="1:13" ht="45.75" thickBot="1">
      <c r="A38" s="349"/>
      <c r="B38" s="251"/>
      <c r="C38" s="520"/>
      <c r="D38" s="105"/>
      <c r="E38" s="105"/>
      <c r="F38" s="105"/>
      <c r="G38" s="521"/>
      <c r="H38" s="522"/>
      <c r="I38" s="55"/>
      <c r="J38" s="273"/>
      <c r="L38" s="668"/>
      <c r="M38" s="669" t="s">
        <v>719</v>
      </c>
    </row>
    <row r="39" spans="1:13" ht="45">
      <c r="A39" s="349"/>
      <c r="B39" s="251" t="s">
        <v>699</v>
      </c>
      <c r="C39" s="520"/>
      <c r="D39" s="517" t="s">
        <v>219</v>
      </c>
      <c r="E39" s="518" t="s">
        <v>220</v>
      </c>
      <c r="F39" s="9"/>
      <c r="G39" s="1304" t="s">
        <v>216</v>
      </c>
      <c r="H39" s="1305"/>
      <c r="I39" s="55"/>
      <c r="J39" s="273"/>
      <c r="L39" s="668"/>
      <c r="M39" s="669" t="s">
        <v>720</v>
      </c>
    </row>
    <row r="40" spans="1:13" ht="15.75" thickBot="1">
      <c r="A40" s="349"/>
      <c r="B40" s="251"/>
      <c r="C40" s="520"/>
      <c r="D40" s="515">
        <f>'Dedicated Exp'!F10</f>
        <v>0</v>
      </c>
      <c r="E40" s="514">
        <f>'Dedicated Exp'!G10</f>
        <v>0</v>
      </c>
      <c r="F40" s="105"/>
      <c r="G40" s="1306">
        <f>D40+E40</f>
        <v>0</v>
      </c>
      <c r="H40" s="1307"/>
      <c r="I40" s="55"/>
      <c r="J40" s="273"/>
      <c r="L40" s="668"/>
      <c r="M40" s="669" t="s">
        <v>721</v>
      </c>
    </row>
    <row r="41" spans="1:13" ht="15.75" thickBot="1">
      <c r="A41" s="349"/>
      <c r="B41" s="10"/>
      <c r="E41" s="75"/>
      <c r="F41" s="55"/>
      <c r="G41" s="55"/>
      <c r="H41" s="55"/>
      <c r="I41" s="55"/>
      <c r="J41" s="273"/>
      <c r="L41" s="668"/>
      <c r="M41" s="669" t="s">
        <v>722</v>
      </c>
    </row>
    <row r="42" spans="1:13" ht="15">
      <c r="A42" s="349"/>
      <c r="B42" s="10"/>
      <c r="C42" s="57" t="s">
        <v>195</v>
      </c>
      <c r="D42" s="71" t="s">
        <v>197</v>
      </c>
      <c r="E42" s="673"/>
      <c r="F42" s="55"/>
      <c r="G42" s="55"/>
      <c r="H42" s="205" t="s">
        <v>198</v>
      </c>
      <c r="I42" s="545"/>
      <c r="J42" s="273"/>
      <c r="L42" s="668"/>
      <c r="M42" s="669" t="s">
        <v>723</v>
      </c>
    </row>
    <row r="43" spans="1:13" ht="15.75" thickBot="1">
      <c r="A43" s="349"/>
      <c r="B43" s="10"/>
      <c r="C43" s="57" t="s">
        <v>196</v>
      </c>
      <c r="D43" s="71" t="s">
        <v>197</v>
      </c>
      <c r="E43" s="674"/>
      <c r="F43" s="55"/>
      <c r="G43" s="55"/>
      <c r="H43" s="205" t="s">
        <v>198</v>
      </c>
      <c r="I43" s="631"/>
      <c r="J43" s="273"/>
      <c r="L43" s="668"/>
      <c r="M43" s="669" t="s">
        <v>724</v>
      </c>
    </row>
    <row r="44" spans="1:13" ht="15.75" thickBot="1">
      <c r="A44" s="349"/>
      <c r="B44" s="10"/>
      <c r="C44" s="57" t="s">
        <v>593</v>
      </c>
      <c r="D44" s="71"/>
      <c r="E44" s="659"/>
      <c r="F44" s="55"/>
      <c r="G44" s="55"/>
      <c r="H44" s="205"/>
      <c r="I44" s="208"/>
      <c r="J44" s="273"/>
      <c r="L44" s="668"/>
      <c r="M44" s="669" t="s">
        <v>725</v>
      </c>
    </row>
    <row r="45" spans="1:13" ht="15">
      <c r="A45" s="349"/>
      <c r="B45" s="10"/>
      <c r="C45" s="57"/>
      <c r="D45" s="71"/>
      <c r="E45" s="206"/>
      <c r="F45" s="105"/>
      <c r="G45" s="105"/>
      <c r="H45" s="207"/>
      <c r="I45" s="208"/>
      <c r="J45" s="273"/>
      <c r="L45" s="668"/>
      <c r="M45" s="669" t="s">
        <v>726</v>
      </c>
    </row>
    <row r="46" spans="1:13" ht="15">
      <c r="A46" s="349"/>
      <c r="B46" s="503" t="s">
        <v>812</v>
      </c>
      <c r="C46" s="70"/>
      <c r="E46" s="450" t="str">
        <f>IF(H37="","Please enter state marginal tax bracket",IF(OR(E42="",I42="",E43="",I43=""),"N/A, please enter deduction and exemption amounts",(G40)-((E42*I42)+(E43*I43)+E44)))</f>
        <v>Please enter state marginal tax bracket</v>
      </c>
      <c r="F46" s="55"/>
      <c r="G46" s="55"/>
      <c r="H46" s="55"/>
      <c r="I46" s="55"/>
      <c r="J46" s="273"/>
      <c r="L46" s="668"/>
      <c r="M46" s="669" t="s">
        <v>727</v>
      </c>
    </row>
    <row r="47" spans="1:13" ht="15.75" thickBot="1">
      <c r="A47" s="349"/>
      <c r="B47" s="10"/>
      <c r="C47" s="10"/>
      <c r="D47" s="75"/>
      <c r="E47" s="75"/>
      <c r="F47" s="10"/>
      <c r="G47" s="10"/>
      <c r="H47" s="10"/>
      <c r="I47" s="10"/>
      <c r="J47" s="349"/>
      <c r="L47" s="668"/>
      <c r="M47" s="669" t="s">
        <v>728</v>
      </c>
    </row>
    <row r="48" spans="1:13" ht="15.75" thickBot="1">
      <c r="A48" s="349"/>
      <c r="B48" s="10" t="s">
        <v>772</v>
      </c>
      <c r="C48" s="10"/>
      <c r="D48" s="10"/>
      <c r="E48" s="582">
        <f>IF(H37="","",MAX(0,E46*H37))</f>
      </c>
      <c r="F48" s="10"/>
      <c r="G48" s="10"/>
      <c r="J48" s="427"/>
      <c r="L48" s="668"/>
      <c r="M48" s="669" t="s">
        <v>729</v>
      </c>
    </row>
    <row r="49" spans="1:13" ht="15.75" thickBot="1">
      <c r="A49" s="349"/>
      <c r="B49" s="10"/>
      <c r="C49" s="10"/>
      <c r="D49" s="10"/>
      <c r="E49" s="578"/>
      <c r="F49" s="10"/>
      <c r="G49" s="10"/>
      <c r="H49" s="57"/>
      <c r="I49" s="580"/>
      <c r="J49" s="427"/>
      <c r="L49" s="668"/>
      <c r="M49" s="669"/>
    </row>
    <row r="50" spans="1:13" ht="15.75" thickBot="1">
      <c r="A50" s="349"/>
      <c r="B50" s="236" t="s">
        <v>773</v>
      </c>
      <c r="C50" s="10"/>
      <c r="D50" s="10"/>
      <c r="E50" s="670"/>
      <c r="F50" s="10"/>
      <c r="G50" s="10"/>
      <c r="H50" s="57"/>
      <c r="I50" s="579"/>
      <c r="J50" s="427"/>
      <c r="L50" s="668"/>
      <c r="M50" s="669"/>
    </row>
    <row r="51" spans="1:13" ht="15.75" thickBot="1">
      <c r="A51" s="349"/>
      <c r="B51" s="10" t="s">
        <v>774</v>
      </c>
      <c r="C51" s="10"/>
      <c r="D51" s="10"/>
      <c r="E51" s="581">
        <f>IF(H37="","",E48-E50)</f>
      </c>
      <c r="F51" s="10"/>
      <c r="G51" s="10"/>
      <c r="H51" s="57" t="s">
        <v>277</v>
      </c>
      <c r="I51" s="512">
        <f>IF(E51="","",E51/G6)</f>
      </c>
      <c r="J51" s="427"/>
      <c r="L51" s="668"/>
      <c r="M51" s="669"/>
    </row>
    <row r="52" spans="1:13" ht="15.75" thickBot="1">
      <c r="A52" s="246"/>
      <c r="B52" s="31"/>
      <c r="C52" s="31"/>
      <c r="D52" s="78"/>
      <c r="E52" s="78"/>
      <c r="F52" s="31"/>
      <c r="G52" s="31"/>
      <c r="H52" s="31"/>
      <c r="I52" s="31"/>
      <c r="J52" s="246"/>
      <c r="L52" s="668"/>
      <c r="M52" s="669" t="s">
        <v>730</v>
      </c>
    </row>
    <row r="53" spans="12:13" s="621" customFormat="1" ht="15">
      <c r="L53" s="668"/>
      <c r="M53" s="669" t="s">
        <v>731</v>
      </c>
    </row>
    <row r="54" spans="12:13" ht="15">
      <c r="L54" s="668"/>
      <c r="M54" s="669" t="s">
        <v>732</v>
      </c>
    </row>
    <row r="55" spans="12:13" ht="15">
      <c r="L55" s="668"/>
      <c r="M55" s="669" t="s">
        <v>733</v>
      </c>
    </row>
    <row r="56" spans="12:13" ht="15">
      <c r="L56" s="668"/>
      <c r="M56" s="669" t="s">
        <v>734</v>
      </c>
    </row>
    <row r="57" spans="12:13" ht="15">
      <c r="L57" s="668"/>
      <c r="M57" s="669" t="s">
        <v>735</v>
      </c>
    </row>
    <row r="58" spans="12:13" ht="15">
      <c r="L58" s="668"/>
      <c r="M58" s="669" t="s">
        <v>736</v>
      </c>
    </row>
    <row r="59" spans="12:13" ht="15">
      <c r="L59" s="668"/>
      <c r="M59" s="669" t="s">
        <v>737</v>
      </c>
    </row>
    <row r="60" spans="12:13" ht="15">
      <c r="L60" s="668"/>
      <c r="M60" s="669" t="s">
        <v>738</v>
      </c>
    </row>
    <row r="61" spans="12:13" ht="15">
      <c r="L61" s="668"/>
      <c r="M61" s="669" t="s">
        <v>739</v>
      </c>
    </row>
    <row r="62" spans="12:13" ht="15">
      <c r="L62" s="668"/>
      <c r="M62" s="669" t="s">
        <v>740</v>
      </c>
    </row>
    <row r="63" spans="12:13" ht="15">
      <c r="L63" s="668"/>
      <c r="M63" s="669" t="s">
        <v>741</v>
      </c>
    </row>
    <row r="64" spans="12:13" ht="15">
      <c r="L64" s="668"/>
      <c r="M64" s="669" t="s">
        <v>742</v>
      </c>
    </row>
    <row r="65" spans="12:13" ht="15">
      <c r="L65" s="668"/>
      <c r="M65" s="669" t="s">
        <v>743</v>
      </c>
    </row>
    <row r="66" spans="12:13" ht="15">
      <c r="L66" s="668"/>
      <c r="M66" s="669" t="s">
        <v>744</v>
      </c>
    </row>
    <row r="67" spans="12:13" ht="15">
      <c r="L67" s="668"/>
      <c r="M67" s="669" t="s">
        <v>745</v>
      </c>
    </row>
    <row r="68" spans="12:13" ht="15">
      <c r="L68" s="668"/>
      <c r="M68" s="669" t="s">
        <v>746</v>
      </c>
    </row>
    <row r="69" spans="12:13" ht="15">
      <c r="L69" s="668"/>
      <c r="M69" s="669" t="s">
        <v>747</v>
      </c>
    </row>
    <row r="70" spans="12:13" ht="15">
      <c r="L70" s="668"/>
      <c r="M70" s="669" t="s">
        <v>748</v>
      </c>
    </row>
    <row r="71" spans="12:13" ht="15">
      <c r="L71" s="668"/>
      <c r="M71" s="669" t="s">
        <v>631</v>
      </c>
    </row>
    <row r="72" spans="12:13" ht="15">
      <c r="L72" s="668"/>
      <c r="M72" s="669" t="s">
        <v>749</v>
      </c>
    </row>
    <row r="73" spans="12:13" ht="15">
      <c r="L73" s="668"/>
      <c r="M73" s="669" t="s">
        <v>750</v>
      </c>
    </row>
    <row r="74" spans="12:13" ht="15">
      <c r="L74" s="668"/>
      <c r="M74" s="669" t="s">
        <v>751</v>
      </c>
    </row>
    <row r="75" spans="12:13" ht="15">
      <c r="L75" s="668"/>
      <c r="M75" s="669" t="s">
        <v>752</v>
      </c>
    </row>
    <row r="76" ht="15">
      <c r="L76" s="668"/>
    </row>
    <row r="77" ht="15">
      <c r="L77" s="668"/>
    </row>
    <row r="78" ht="15">
      <c r="L78" s="668"/>
    </row>
    <row r="79" ht="15">
      <c r="L79" s="668"/>
    </row>
    <row r="80" ht="15">
      <c r="L80" s="668"/>
    </row>
  </sheetData>
  <sheetProtection/>
  <mergeCells count="11">
    <mergeCell ref="G33:H33"/>
    <mergeCell ref="G39:H39"/>
    <mergeCell ref="G40:H40"/>
    <mergeCell ref="A1:J1"/>
    <mergeCell ref="B2:I2"/>
    <mergeCell ref="B28:I28"/>
    <mergeCell ref="B36:I36"/>
    <mergeCell ref="B3:I3"/>
    <mergeCell ref="G5:H5"/>
    <mergeCell ref="G6:H6"/>
    <mergeCell ref="G30:H30"/>
  </mergeCells>
  <dataValidations count="2">
    <dataValidation type="list" allowBlank="1" showInputMessage="1" showErrorMessage="1" sqref="E8">
      <formula1>$M$9:$M$15</formula1>
    </dataValidation>
    <dataValidation type="list" allowBlank="1" showInputMessage="1" showErrorMessage="1" sqref="C37">
      <formula1>$M$19:$M$75</formula1>
    </dataValidation>
  </dataValidations>
  <printOptions horizontalCentered="1"/>
  <pageMargins left="0.75" right="0.75" top="0.75" bottom="0.75" header="0.5" footer="0.5"/>
  <pageSetup horizontalDpi="300" verticalDpi="300" orientation="portrait" r:id="rId3"/>
  <headerFooter alignWithMargins="0">
    <oddFooter>&amp;LIncome Tax Estimator&amp;R&amp;P</oddFooter>
  </headerFooter>
  <legacyDrawing r:id="rId2"/>
</worksheet>
</file>

<file path=xl/worksheets/sheet8.xml><?xml version="1.0" encoding="utf-8"?>
<worksheet xmlns="http://schemas.openxmlformats.org/spreadsheetml/2006/main" xmlns:r="http://schemas.openxmlformats.org/officeDocument/2006/relationships">
  <sheetPr codeName="Sheet8">
    <tabColor indexed="22"/>
  </sheetPr>
  <dimension ref="A1:I144"/>
  <sheetViews>
    <sheetView zoomScalePageLayoutView="0" workbookViewId="0" topLeftCell="A1">
      <selection activeCell="E3" sqref="E3"/>
    </sheetView>
  </sheetViews>
  <sheetFormatPr defaultColWidth="9.140625" defaultRowHeight="12.75"/>
  <cols>
    <col min="1" max="1" width="5.7109375" style="11" customWidth="1"/>
    <col min="2" max="2" width="11.140625" style="65" bestFit="1" customWidth="1"/>
    <col min="3" max="3" width="11.421875" style="65" customWidth="1"/>
    <col min="4" max="4" width="11.28125" style="221" bestFit="1" customWidth="1"/>
    <col min="5" max="5" width="6.7109375" style="11" customWidth="1"/>
    <col min="6" max="6" width="13.8515625" style="65" customWidth="1"/>
    <col min="7" max="7" width="12.421875" style="65" customWidth="1"/>
    <col min="8" max="8" width="11.140625" style="135" bestFit="1" customWidth="1"/>
    <col min="9" max="9" width="5.7109375" style="11" customWidth="1"/>
  </cols>
  <sheetData>
    <row r="1" spans="1:9" ht="13.5" thickBot="1">
      <c r="A1" s="106"/>
      <c r="B1" s="76"/>
      <c r="C1" s="76"/>
      <c r="D1" s="215"/>
      <c r="E1" s="108" t="s">
        <v>851</v>
      </c>
      <c r="F1" s="76"/>
      <c r="G1" s="76"/>
      <c r="H1" s="107"/>
      <c r="I1" s="109"/>
    </row>
    <row r="2" spans="1:9" ht="12.75">
      <c r="A2" s="8"/>
      <c r="B2" s="75"/>
      <c r="C2" s="75"/>
      <c r="D2" s="216"/>
      <c r="E2" s="10"/>
      <c r="F2" s="75"/>
      <c r="G2" s="75"/>
      <c r="H2" s="72"/>
      <c r="I2" s="27"/>
    </row>
    <row r="3" spans="1:9" ht="12.75">
      <c r="A3" s="8"/>
      <c r="B3" s="75"/>
      <c r="C3" s="75"/>
      <c r="D3" s="216"/>
      <c r="E3" s="10"/>
      <c r="F3" s="75"/>
      <c r="G3" s="111"/>
      <c r="H3" s="72"/>
      <c r="I3" s="27"/>
    </row>
    <row r="4" spans="1:9" ht="12.75">
      <c r="A4" s="8"/>
      <c r="B4" s="112" t="s">
        <v>76</v>
      </c>
      <c r="C4" s="113"/>
      <c r="D4" s="235">
        <f>VLOOKUP('Inc Tax Estimator'!$E$19,B6:D11,2)+VLOOKUP('Inc Tax Estimator'!$E$19,B6:D11,3)*('Inc Tax Estimator'!$E$19-VLOOKUP('Inc Tax Estimator'!$E$19,B6:D11,1))</f>
        <v>0</v>
      </c>
      <c r="E4" s="10"/>
      <c r="F4" s="114" t="s">
        <v>86</v>
      </c>
      <c r="G4" s="115"/>
      <c r="H4" s="72"/>
      <c r="I4" s="27"/>
    </row>
    <row r="5" spans="1:9" ht="12.75">
      <c r="A5" s="8"/>
      <c r="B5" s="116" t="s">
        <v>87</v>
      </c>
      <c r="C5" s="117" t="s">
        <v>88</v>
      </c>
      <c r="D5" s="217" t="s">
        <v>89</v>
      </c>
      <c r="E5" s="10"/>
      <c r="F5" s="118" t="s">
        <v>90</v>
      </c>
      <c r="G5" s="119">
        <v>3650</v>
      </c>
      <c r="H5" s="72"/>
      <c r="I5" s="27"/>
    </row>
    <row r="6" spans="1:9" ht="12.75">
      <c r="A6" s="8"/>
      <c r="B6" s="120">
        <v>0</v>
      </c>
      <c r="C6" s="75">
        <v>0</v>
      </c>
      <c r="D6" s="218">
        <v>0.1</v>
      </c>
      <c r="E6" s="10"/>
      <c r="F6" s="75"/>
      <c r="G6" s="75"/>
      <c r="H6" s="72"/>
      <c r="I6" s="27"/>
    </row>
    <row r="7" spans="1:9" ht="12.75">
      <c r="A7" s="8"/>
      <c r="B7" s="120">
        <v>8350.01</v>
      </c>
      <c r="C7" s="75">
        <f>((B7-B6-0.01)*D6)+C6</f>
        <v>835</v>
      </c>
      <c r="D7" s="218">
        <v>0.15</v>
      </c>
      <c r="E7" s="10"/>
      <c r="F7" s="114" t="s">
        <v>91</v>
      </c>
      <c r="G7" s="121"/>
      <c r="H7" s="72"/>
      <c r="I7" s="27"/>
    </row>
    <row r="8" spans="1:9" ht="12.75">
      <c r="A8" s="8"/>
      <c r="B8" s="120">
        <v>33950.01</v>
      </c>
      <c r="C8" s="75">
        <f>((B8-B7)*D7)+C7</f>
        <v>4675</v>
      </c>
      <c r="D8" s="218">
        <v>0.25</v>
      </c>
      <c r="E8" s="10"/>
      <c r="F8" s="120" t="s">
        <v>76</v>
      </c>
      <c r="G8" s="122">
        <v>1</v>
      </c>
      <c r="H8" s="123">
        <v>5700</v>
      </c>
      <c r="I8" s="27"/>
    </row>
    <row r="9" spans="1:9" ht="12.75">
      <c r="A9" s="8"/>
      <c r="B9" s="120">
        <v>82250.01</v>
      </c>
      <c r="C9" s="75">
        <f>((B9-B8)*D8)+C8</f>
        <v>16750</v>
      </c>
      <c r="D9" s="218">
        <v>0.28</v>
      </c>
      <c r="E9" s="10"/>
      <c r="F9" s="120" t="s">
        <v>92</v>
      </c>
      <c r="G9" s="124">
        <v>2</v>
      </c>
      <c r="H9" s="125">
        <v>11400</v>
      </c>
      <c r="I9" s="27"/>
    </row>
    <row r="10" spans="1:9" ht="12.75">
      <c r="A10" s="8"/>
      <c r="B10" s="120">
        <v>171550.01</v>
      </c>
      <c r="C10" s="75">
        <f>((B10-B9)*D9)+C9</f>
        <v>41754.00000000001</v>
      </c>
      <c r="D10" s="218">
        <v>0.33</v>
      </c>
      <c r="E10" s="10"/>
      <c r="F10" s="120" t="s">
        <v>93</v>
      </c>
      <c r="G10" s="124">
        <v>3</v>
      </c>
      <c r="H10" s="125">
        <v>5700</v>
      </c>
      <c r="I10" s="27"/>
    </row>
    <row r="11" spans="1:9" ht="12.75">
      <c r="A11" s="8"/>
      <c r="B11" s="118">
        <v>372950.01</v>
      </c>
      <c r="C11" s="126">
        <f>((B11-B10)*D10)+C10</f>
        <v>108216</v>
      </c>
      <c r="D11" s="217">
        <v>0.35</v>
      </c>
      <c r="E11" s="10"/>
      <c r="F11" s="118" t="s">
        <v>94</v>
      </c>
      <c r="G11" s="127">
        <v>4</v>
      </c>
      <c r="H11" s="128">
        <v>8350</v>
      </c>
      <c r="I11" s="27"/>
    </row>
    <row r="12" spans="1:9" ht="12.75">
      <c r="A12" s="8"/>
      <c r="B12" s="75"/>
      <c r="C12" s="75"/>
      <c r="D12" s="216"/>
      <c r="E12" s="10"/>
      <c r="F12" s="75"/>
      <c r="G12" s="75"/>
      <c r="H12" s="72"/>
      <c r="I12" s="27"/>
    </row>
    <row r="13" spans="1:9" ht="12.75">
      <c r="A13" s="8"/>
      <c r="B13" s="75"/>
      <c r="C13" s="75"/>
      <c r="D13" s="216"/>
      <c r="E13" s="10"/>
      <c r="F13" s="75"/>
      <c r="G13" s="75"/>
      <c r="H13" s="72"/>
      <c r="I13" s="27"/>
    </row>
    <row r="14" spans="1:9" ht="12.75">
      <c r="A14" s="8"/>
      <c r="B14" s="112" t="s">
        <v>92</v>
      </c>
      <c r="C14" s="113"/>
      <c r="D14" s="235">
        <f>VLOOKUP('Inc Tax Estimator'!$E$19,B16:D21,2)+VLOOKUP('Inc Tax Estimator'!$E$19,B16:D21,3)*('Inc Tax Estimator'!$E$19-VLOOKUP('Inc Tax Estimator'!$E$19,B16:D21,1))</f>
        <v>0</v>
      </c>
      <c r="E14" s="10"/>
      <c r="F14" s="114" t="s">
        <v>95</v>
      </c>
      <c r="G14" s="121"/>
      <c r="H14" s="72"/>
      <c r="I14" s="27"/>
    </row>
    <row r="15" spans="1:9" ht="12.75">
      <c r="A15" s="8"/>
      <c r="B15" s="116" t="s">
        <v>87</v>
      </c>
      <c r="C15" s="117" t="s">
        <v>88</v>
      </c>
      <c r="D15" s="217" t="s">
        <v>89</v>
      </c>
      <c r="E15" s="10"/>
      <c r="F15" s="129" t="s">
        <v>76</v>
      </c>
      <c r="G15" s="130">
        <v>1</v>
      </c>
      <c r="H15" s="121">
        <v>1400</v>
      </c>
      <c r="I15" s="27"/>
    </row>
    <row r="16" spans="1:9" ht="12.75">
      <c r="A16" s="8"/>
      <c r="B16" s="120">
        <v>0</v>
      </c>
      <c r="C16" s="75">
        <v>0</v>
      </c>
      <c r="D16" s="218">
        <v>0.1</v>
      </c>
      <c r="E16" s="10"/>
      <c r="F16" s="120" t="s">
        <v>92</v>
      </c>
      <c r="G16" s="131">
        <v>2</v>
      </c>
      <c r="H16" s="132">
        <v>1100</v>
      </c>
      <c r="I16" s="27"/>
    </row>
    <row r="17" spans="1:9" ht="12.75">
      <c r="A17" s="8"/>
      <c r="B17" s="120">
        <v>16700.01</v>
      </c>
      <c r="C17" s="75">
        <f>((B17-B16-0.01)*D16)+C16</f>
        <v>1670</v>
      </c>
      <c r="D17" s="218">
        <v>0.15</v>
      </c>
      <c r="E17" s="10"/>
      <c r="F17" s="120" t="s">
        <v>93</v>
      </c>
      <c r="G17" s="131">
        <v>3</v>
      </c>
      <c r="H17" s="132">
        <v>1100</v>
      </c>
      <c r="I17" s="27"/>
    </row>
    <row r="18" spans="1:9" ht="12.75">
      <c r="A18" s="8"/>
      <c r="B18" s="120">
        <v>67900.01</v>
      </c>
      <c r="C18" s="75">
        <f>((B18-B17)*D17)+C17</f>
        <v>9350</v>
      </c>
      <c r="D18" s="218">
        <v>0.25</v>
      </c>
      <c r="E18" s="10"/>
      <c r="F18" s="118" t="s">
        <v>94</v>
      </c>
      <c r="G18" s="133">
        <v>4</v>
      </c>
      <c r="H18" s="134">
        <v>1400</v>
      </c>
      <c r="I18" s="27"/>
    </row>
    <row r="19" spans="1:9" ht="12.75">
      <c r="A19" s="8"/>
      <c r="B19" s="120">
        <v>137050.01</v>
      </c>
      <c r="C19" s="75">
        <f>((B19-B18)*D18)+C18</f>
        <v>26637.500000000004</v>
      </c>
      <c r="D19" s="218">
        <v>0.28</v>
      </c>
      <c r="E19" s="10"/>
      <c r="I19" s="27"/>
    </row>
    <row r="20" spans="1:9" ht="12.75">
      <c r="A20" s="8"/>
      <c r="B20" s="120">
        <v>208850.01</v>
      </c>
      <c r="C20" s="75">
        <f>((B20-B19)*D19)+C19</f>
        <v>46741.50000000001</v>
      </c>
      <c r="D20" s="218">
        <v>0.33</v>
      </c>
      <c r="E20" s="10"/>
      <c r="F20" s="114" t="s">
        <v>96</v>
      </c>
      <c r="G20" s="136"/>
      <c r="H20" s="137" t="s">
        <v>97</v>
      </c>
      <c r="I20" s="27"/>
    </row>
    <row r="21" spans="1:9" ht="12.75">
      <c r="A21" s="8"/>
      <c r="B21" s="118">
        <v>372950.01</v>
      </c>
      <c r="C21" s="126">
        <f>((B21-B20)*D20)+C20</f>
        <v>100894.5</v>
      </c>
      <c r="D21" s="217">
        <v>0.35</v>
      </c>
      <c r="E21" s="10"/>
      <c r="F21" s="120" t="s">
        <v>98</v>
      </c>
      <c r="G21" s="110">
        <v>0.062</v>
      </c>
      <c r="H21" s="125">
        <v>106800</v>
      </c>
      <c r="I21" s="27"/>
    </row>
    <row r="22" spans="1:9" ht="13.5" thickBot="1">
      <c r="A22" s="8"/>
      <c r="B22" s="75"/>
      <c r="C22" s="75"/>
      <c r="D22" s="216"/>
      <c r="E22" s="10"/>
      <c r="F22" s="138" t="s">
        <v>99</v>
      </c>
      <c r="G22" s="139">
        <v>0.0145</v>
      </c>
      <c r="H22" s="140" t="s">
        <v>100</v>
      </c>
      <c r="I22" s="27"/>
    </row>
    <row r="23" spans="1:9" ht="13.5" thickTop="1">
      <c r="A23" s="8"/>
      <c r="B23" s="75"/>
      <c r="C23" s="75"/>
      <c r="D23" s="216"/>
      <c r="E23" s="10"/>
      <c r="F23" s="118" t="s">
        <v>71</v>
      </c>
      <c r="G23" s="141">
        <f>SUM(G21:G22)</f>
        <v>0.0765</v>
      </c>
      <c r="H23" s="142"/>
      <c r="I23" s="27"/>
    </row>
    <row r="24" spans="1:9" ht="12.75">
      <c r="A24" s="8"/>
      <c r="B24" s="112" t="s">
        <v>93</v>
      </c>
      <c r="C24" s="113"/>
      <c r="D24" s="235">
        <f>VLOOKUP('Inc Tax Estimator'!$E$19,B26:D31,2)+VLOOKUP('Inc Tax Estimator'!$E$19,B26:D31,3)*('Inc Tax Estimator'!$E$19-VLOOKUP('Inc Tax Estimator'!$E$19,B26:D31,1))</f>
        <v>0</v>
      </c>
      <c r="E24" s="10"/>
      <c r="I24" s="27"/>
    </row>
    <row r="25" spans="1:9" ht="12.75">
      <c r="A25" s="8"/>
      <c r="B25" s="116" t="s">
        <v>87</v>
      </c>
      <c r="C25" s="117" t="s">
        <v>88</v>
      </c>
      <c r="D25" s="217" t="s">
        <v>89</v>
      </c>
      <c r="E25" s="10"/>
      <c r="I25" s="27"/>
    </row>
    <row r="26" spans="1:9" ht="12.75">
      <c r="A26" s="8"/>
      <c r="B26" s="120">
        <v>0</v>
      </c>
      <c r="C26" s="75">
        <v>0</v>
      </c>
      <c r="D26" s="218">
        <v>0.1</v>
      </c>
      <c r="E26" s="10"/>
      <c r="I26" s="27"/>
    </row>
    <row r="27" spans="1:9" ht="12.75">
      <c r="A27" s="8"/>
      <c r="B27" s="120">
        <v>8350.01</v>
      </c>
      <c r="C27" s="75">
        <f>((B27-B26-0.01)*D26)+C26</f>
        <v>835</v>
      </c>
      <c r="D27" s="218">
        <v>0.15</v>
      </c>
      <c r="E27" s="10"/>
      <c r="F27" s="75"/>
      <c r="G27" s="75"/>
      <c r="H27" s="72"/>
      <c r="I27" s="27"/>
    </row>
    <row r="28" spans="1:9" ht="12.75">
      <c r="A28" s="8"/>
      <c r="B28" s="120">
        <v>33950.01</v>
      </c>
      <c r="C28" s="75">
        <f>((B28-B27)*D27)+C27</f>
        <v>4675</v>
      </c>
      <c r="D28" s="218">
        <v>0.25</v>
      </c>
      <c r="E28" s="10"/>
      <c r="F28" s="75"/>
      <c r="G28" s="75"/>
      <c r="H28" s="72"/>
      <c r="I28" s="27"/>
    </row>
    <row r="29" spans="1:9" ht="12.75">
      <c r="A29" s="8"/>
      <c r="B29" s="120">
        <v>68525.01</v>
      </c>
      <c r="C29" s="75">
        <f>((B29-B28)*D28)+C28</f>
        <v>13318.749999999998</v>
      </c>
      <c r="D29" s="218">
        <v>0.28</v>
      </c>
      <c r="E29" s="10"/>
      <c r="F29" s="75"/>
      <c r="G29" s="75"/>
      <c r="H29" s="72"/>
      <c r="I29" s="27"/>
    </row>
    <row r="30" spans="1:9" ht="12.75">
      <c r="A30" s="8"/>
      <c r="B30" s="120">
        <v>104425.01</v>
      </c>
      <c r="C30" s="75">
        <f>((B30-B29)*D29)+C29</f>
        <v>23370.75</v>
      </c>
      <c r="D30" s="218">
        <v>0.33</v>
      </c>
      <c r="E30" s="10"/>
      <c r="F30" s="75"/>
      <c r="G30" s="75"/>
      <c r="H30" s="72"/>
      <c r="I30" s="27"/>
    </row>
    <row r="31" spans="1:9" ht="12.75">
      <c r="A31" s="8"/>
      <c r="B31" s="118">
        <v>186475.01</v>
      </c>
      <c r="C31" s="126">
        <f>((B31-B30)*D30)+C30</f>
        <v>50447.25000000001</v>
      </c>
      <c r="D31" s="217">
        <v>0.35</v>
      </c>
      <c r="E31" s="10"/>
      <c r="F31" s="75"/>
      <c r="G31" s="75"/>
      <c r="H31" s="72"/>
      <c r="I31" s="27"/>
    </row>
    <row r="32" spans="1:9" ht="12.75">
      <c r="A32" s="8"/>
      <c r="B32" s="75"/>
      <c r="C32" s="75"/>
      <c r="D32" s="216"/>
      <c r="E32" s="10"/>
      <c r="F32" s="75"/>
      <c r="G32" s="75"/>
      <c r="H32" s="72"/>
      <c r="I32" s="27"/>
    </row>
    <row r="33" spans="1:9" ht="12.75">
      <c r="A33" s="8"/>
      <c r="B33" s="75"/>
      <c r="C33" s="75"/>
      <c r="D33" s="216"/>
      <c r="E33" s="10"/>
      <c r="F33" s="75"/>
      <c r="G33" s="75"/>
      <c r="H33" s="72"/>
      <c r="I33" s="27"/>
    </row>
    <row r="34" spans="1:9" ht="12.75">
      <c r="A34" s="8"/>
      <c r="B34" s="112" t="s">
        <v>94</v>
      </c>
      <c r="C34" s="113"/>
      <c r="D34" s="235">
        <f>VLOOKUP('Inc Tax Estimator'!$E$19,B36:D41,2)+VLOOKUP('Inc Tax Estimator'!$E$19,B36:D41,3)*('Inc Tax Estimator'!$E$19-VLOOKUP('Inc Tax Estimator'!$E$19,B36:D41,1))</f>
        <v>0</v>
      </c>
      <c r="E34" s="10"/>
      <c r="F34" s="75"/>
      <c r="G34" s="75"/>
      <c r="H34" s="72"/>
      <c r="I34" s="27"/>
    </row>
    <row r="35" spans="1:9" ht="12.75">
      <c r="A35" s="8"/>
      <c r="B35" s="116" t="s">
        <v>87</v>
      </c>
      <c r="C35" s="117" t="s">
        <v>88</v>
      </c>
      <c r="D35" s="217" t="s">
        <v>89</v>
      </c>
      <c r="E35" s="10"/>
      <c r="F35" s="75"/>
      <c r="G35" s="75"/>
      <c r="H35" s="72"/>
      <c r="I35" s="27"/>
    </row>
    <row r="36" spans="1:9" ht="12.75">
      <c r="A36" s="8"/>
      <c r="B36" s="120">
        <v>0</v>
      </c>
      <c r="C36" s="75">
        <v>0</v>
      </c>
      <c r="D36" s="218">
        <v>0.1</v>
      </c>
      <c r="E36" s="10"/>
      <c r="F36" s="75"/>
      <c r="G36" s="75"/>
      <c r="H36" s="72"/>
      <c r="I36" s="27"/>
    </row>
    <row r="37" spans="1:9" ht="12.75">
      <c r="A37" s="8"/>
      <c r="B37" s="120">
        <v>11950.01</v>
      </c>
      <c r="C37" s="75">
        <f>((B37-B36-0.01)*D36)+C36</f>
        <v>1195</v>
      </c>
      <c r="D37" s="218">
        <v>0.15</v>
      </c>
      <c r="E37" s="10"/>
      <c r="F37" s="75"/>
      <c r="G37" s="75"/>
      <c r="H37" s="72"/>
      <c r="I37" s="27"/>
    </row>
    <row r="38" spans="1:9" ht="12.75">
      <c r="A38" s="8"/>
      <c r="B38" s="120">
        <v>45500.01</v>
      </c>
      <c r="C38" s="75">
        <f>((B38-B37)*D37)+C37</f>
        <v>6227.5</v>
      </c>
      <c r="D38" s="218">
        <v>0.25</v>
      </c>
      <c r="E38" s="10"/>
      <c r="F38" s="75"/>
      <c r="G38" s="75"/>
      <c r="H38" s="72"/>
      <c r="I38" s="27"/>
    </row>
    <row r="39" spans="1:9" ht="12.75">
      <c r="A39" s="8"/>
      <c r="B39" s="120">
        <v>117450.01</v>
      </c>
      <c r="C39" s="75">
        <f>((B39-B38)*D38)+C38</f>
        <v>24215</v>
      </c>
      <c r="D39" s="218">
        <v>0.28</v>
      </c>
      <c r="E39" s="10"/>
      <c r="F39" s="75"/>
      <c r="G39" s="75"/>
      <c r="H39" s="72"/>
      <c r="I39" s="27"/>
    </row>
    <row r="40" spans="1:9" ht="12.75">
      <c r="A40" s="8"/>
      <c r="B40" s="120">
        <v>190200.01</v>
      </c>
      <c r="C40" s="75">
        <f>((B40-B39)*D39)+C39</f>
        <v>44585.00000000001</v>
      </c>
      <c r="D40" s="218">
        <v>0.33</v>
      </c>
      <c r="E40" s="10"/>
      <c r="F40" s="75"/>
      <c r="G40" s="75"/>
      <c r="H40" s="72"/>
      <c r="I40" s="27"/>
    </row>
    <row r="41" spans="1:9" ht="12.75">
      <c r="A41" s="8"/>
      <c r="B41" s="118">
        <v>372950.01</v>
      </c>
      <c r="C41" s="126">
        <f>((B41-B40)*D40)+C40</f>
        <v>104892.5</v>
      </c>
      <c r="D41" s="217">
        <v>0.35</v>
      </c>
      <c r="E41" s="10"/>
      <c r="F41" s="75"/>
      <c r="G41" s="75"/>
      <c r="H41" s="72"/>
      <c r="I41" s="27"/>
    </row>
    <row r="42" spans="1:9" ht="12.75">
      <c r="A42" s="8"/>
      <c r="B42" s="75"/>
      <c r="C42" s="75"/>
      <c r="D42" s="216"/>
      <c r="E42" s="10"/>
      <c r="F42" s="75"/>
      <c r="G42" s="75"/>
      <c r="H42" s="72"/>
      <c r="I42" s="27"/>
    </row>
    <row r="43" spans="1:9" ht="13.5" thickBot="1">
      <c r="A43" s="30"/>
      <c r="B43" s="78"/>
      <c r="C43" s="78"/>
      <c r="D43" s="219"/>
      <c r="E43" s="31"/>
      <c r="F43" s="78"/>
      <c r="G43" s="78"/>
      <c r="H43" s="143"/>
      <c r="I43" s="33"/>
    </row>
    <row r="44" ht="12.75">
      <c r="D44" s="220"/>
    </row>
    <row r="45" ht="12.75">
      <c r="D45" s="220"/>
    </row>
    <row r="46" ht="12.75">
      <c r="D46" s="220"/>
    </row>
    <row r="47" ht="12.75">
      <c r="D47" s="220"/>
    </row>
    <row r="48" ht="12.75">
      <c r="D48" s="220"/>
    </row>
    <row r="49" ht="12.75">
      <c r="D49" s="220"/>
    </row>
    <row r="50" ht="12.75">
      <c r="D50" s="220"/>
    </row>
    <row r="51" ht="12.75">
      <c r="D51" s="220"/>
    </row>
    <row r="52" ht="12.75">
      <c r="D52" s="220"/>
    </row>
    <row r="53" ht="12.75">
      <c r="D53" s="220"/>
    </row>
    <row r="54" ht="12.75">
      <c r="D54" s="220"/>
    </row>
    <row r="55" ht="12.75">
      <c r="D55" s="220"/>
    </row>
    <row r="56" ht="12.75">
      <c r="D56" s="220"/>
    </row>
    <row r="57" ht="12.75">
      <c r="D57" s="220"/>
    </row>
    <row r="58" ht="12.75">
      <c r="D58" s="220"/>
    </row>
    <row r="59" ht="12.75">
      <c r="D59" s="220"/>
    </row>
    <row r="60" ht="12.75">
      <c r="D60" s="220"/>
    </row>
    <row r="61" ht="12.75">
      <c r="D61" s="220"/>
    </row>
    <row r="62" ht="12.75">
      <c r="D62" s="220"/>
    </row>
    <row r="63" ht="12.75">
      <c r="D63" s="220"/>
    </row>
    <row r="64" ht="12.75">
      <c r="D64" s="220"/>
    </row>
    <row r="65" ht="12.75">
      <c r="D65" s="220"/>
    </row>
    <row r="66" ht="12.75">
      <c r="D66" s="220"/>
    </row>
    <row r="67" ht="12.75">
      <c r="D67" s="220"/>
    </row>
    <row r="68" ht="12.75">
      <c r="D68" s="220"/>
    </row>
    <row r="69" ht="12.75">
      <c r="D69" s="220"/>
    </row>
    <row r="70" ht="12.75">
      <c r="D70" s="220"/>
    </row>
    <row r="71" ht="12.75">
      <c r="D71" s="220"/>
    </row>
    <row r="72" ht="12.75">
      <c r="D72" s="220"/>
    </row>
    <row r="73" ht="12.75">
      <c r="D73" s="220"/>
    </row>
    <row r="74" ht="12.75">
      <c r="D74" s="220"/>
    </row>
    <row r="75" ht="12.75">
      <c r="D75" s="220"/>
    </row>
    <row r="76" ht="12.75">
      <c r="D76" s="220"/>
    </row>
    <row r="77" ht="12.75">
      <c r="D77" s="220"/>
    </row>
    <row r="78" ht="12.75">
      <c r="D78" s="220"/>
    </row>
    <row r="79" ht="12.75">
      <c r="D79" s="220"/>
    </row>
    <row r="80" ht="12.75">
      <c r="D80" s="220"/>
    </row>
    <row r="81" ht="12.75">
      <c r="D81" s="220"/>
    </row>
    <row r="82" ht="12.75">
      <c r="D82" s="220"/>
    </row>
    <row r="83" ht="12.75">
      <c r="D83" s="220"/>
    </row>
    <row r="84" ht="12.75">
      <c r="D84" s="220"/>
    </row>
    <row r="85" ht="12.75">
      <c r="D85" s="220"/>
    </row>
    <row r="86" ht="12.75">
      <c r="D86" s="220"/>
    </row>
    <row r="87" ht="12.75">
      <c r="D87" s="220"/>
    </row>
    <row r="88" ht="12.75">
      <c r="D88" s="220"/>
    </row>
    <row r="89" ht="12.75">
      <c r="D89" s="220"/>
    </row>
    <row r="90" ht="12.75">
      <c r="D90" s="220"/>
    </row>
    <row r="91" ht="12.75">
      <c r="D91" s="220"/>
    </row>
    <row r="92" ht="12.75">
      <c r="D92" s="220"/>
    </row>
    <row r="93" ht="12.75">
      <c r="D93" s="220"/>
    </row>
    <row r="94" ht="12.75">
      <c r="D94" s="220"/>
    </row>
    <row r="95" ht="12.75">
      <c r="D95" s="220"/>
    </row>
    <row r="96" ht="12.75">
      <c r="D96" s="220"/>
    </row>
    <row r="97" ht="12.75">
      <c r="D97" s="220"/>
    </row>
    <row r="98" ht="12.75">
      <c r="D98" s="220"/>
    </row>
    <row r="99" ht="12.75">
      <c r="D99" s="220"/>
    </row>
    <row r="100" ht="12.75">
      <c r="D100" s="220"/>
    </row>
    <row r="101" ht="12.75">
      <c r="D101" s="220"/>
    </row>
    <row r="102" ht="12.75">
      <c r="D102" s="220"/>
    </row>
    <row r="103" ht="12.75">
      <c r="D103" s="220"/>
    </row>
    <row r="104" ht="12.75">
      <c r="D104" s="220"/>
    </row>
    <row r="105" ht="12.75">
      <c r="D105" s="220"/>
    </row>
    <row r="106" ht="12.75">
      <c r="D106" s="220"/>
    </row>
    <row r="107" ht="12.75">
      <c r="D107" s="220"/>
    </row>
    <row r="108" ht="12.75">
      <c r="D108" s="220"/>
    </row>
    <row r="109" ht="12.75">
      <c r="D109" s="220"/>
    </row>
    <row r="110" ht="12.75">
      <c r="D110" s="220"/>
    </row>
    <row r="111" ht="12.75">
      <c r="D111" s="220"/>
    </row>
    <row r="112" ht="12.75">
      <c r="D112" s="220"/>
    </row>
    <row r="113" ht="12.75">
      <c r="D113" s="220"/>
    </row>
    <row r="114" ht="12.75">
      <c r="D114" s="220"/>
    </row>
    <row r="115" ht="12.75">
      <c r="D115" s="220"/>
    </row>
    <row r="116" ht="12.75">
      <c r="D116" s="220"/>
    </row>
    <row r="117" ht="12.75">
      <c r="D117" s="220"/>
    </row>
    <row r="118" ht="12.75">
      <c r="D118" s="220"/>
    </row>
    <row r="119" ht="12.75">
      <c r="D119" s="220"/>
    </row>
    <row r="120" ht="12.75">
      <c r="D120" s="220"/>
    </row>
    <row r="121" ht="12.75">
      <c r="D121" s="220"/>
    </row>
    <row r="122" ht="12.75">
      <c r="D122" s="220"/>
    </row>
    <row r="123" ht="12.75">
      <c r="D123" s="220"/>
    </row>
    <row r="124" ht="12.75">
      <c r="D124" s="220"/>
    </row>
    <row r="125" ht="12.75">
      <c r="D125" s="220"/>
    </row>
    <row r="126" ht="12.75">
      <c r="D126" s="220"/>
    </row>
    <row r="127" ht="12.75">
      <c r="D127" s="220"/>
    </row>
    <row r="128" ht="12.75">
      <c r="D128" s="220"/>
    </row>
    <row r="129" ht="12.75">
      <c r="D129" s="220"/>
    </row>
    <row r="130" ht="12.75">
      <c r="D130" s="220"/>
    </row>
    <row r="131" ht="12.75">
      <c r="D131" s="220"/>
    </row>
    <row r="132" ht="12.75">
      <c r="D132" s="220"/>
    </row>
    <row r="133" ht="12.75">
      <c r="D133" s="220"/>
    </row>
    <row r="134" ht="12.75">
      <c r="D134" s="220"/>
    </row>
    <row r="135" ht="12.75">
      <c r="D135" s="220"/>
    </row>
    <row r="136" ht="12.75">
      <c r="D136" s="220"/>
    </row>
    <row r="137" ht="12.75">
      <c r="D137" s="220"/>
    </row>
    <row r="138" ht="12.75">
      <c r="D138" s="220"/>
    </row>
    <row r="139" ht="12.75">
      <c r="D139" s="220"/>
    </row>
    <row r="140" ht="12.75">
      <c r="D140" s="220"/>
    </row>
    <row r="141" ht="12.75">
      <c r="D141" s="220"/>
    </row>
    <row r="142" ht="12.75">
      <c r="D142" s="220"/>
    </row>
    <row r="143" ht="12.75">
      <c r="D143" s="220"/>
    </row>
    <row r="144" ht="12.75">
      <c r="D144" s="220"/>
    </row>
  </sheetData>
  <sheetProtection/>
  <printOptions horizontalCentered="1"/>
  <pageMargins left="0.75" right="0.75" top="0.75"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9">
    <tabColor indexed="22"/>
  </sheetPr>
  <dimension ref="A1:L56"/>
  <sheetViews>
    <sheetView zoomScalePageLayoutView="0" workbookViewId="0" topLeftCell="A1">
      <selection activeCell="I18" sqref="I18"/>
    </sheetView>
  </sheetViews>
  <sheetFormatPr defaultColWidth="9.140625" defaultRowHeight="12.75"/>
  <cols>
    <col min="2" max="2" width="12.28125" style="168" bestFit="1" customWidth="1"/>
    <col min="3" max="3" width="9.140625" style="169" customWidth="1"/>
    <col min="4" max="4" width="2.7109375" style="169" customWidth="1"/>
    <col min="5" max="5" width="16.421875" style="149" bestFit="1" customWidth="1"/>
    <col min="6" max="6" width="14.57421875" style="149" customWidth="1"/>
    <col min="7" max="7" width="3.7109375" style="149" customWidth="1"/>
    <col min="8" max="8" width="3.7109375" style="0" customWidth="1"/>
    <col min="9" max="9" width="24.7109375" style="0" customWidth="1"/>
    <col min="10" max="12" width="11.7109375" style="0" customWidth="1"/>
  </cols>
  <sheetData>
    <row r="1" spans="1:12" ht="12.75" customHeight="1">
      <c r="A1" s="144" t="s">
        <v>101</v>
      </c>
      <c r="B1" s="145"/>
      <c r="C1" s="146"/>
      <c r="D1" s="146"/>
      <c r="E1" s="147"/>
      <c r="F1" s="148"/>
      <c r="H1" s="1317" t="s">
        <v>102</v>
      </c>
      <c r="I1" s="1318"/>
      <c r="J1" s="1318"/>
      <c r="K1" s="1318"/>
      <c r="L1" s="1319"/>
    </row>
    <row r="2" spans="1:12" ht="12.75">
      <c r="A2" s="150" t="s">
        <v>75</v>
      </c>
      <c r="B2" s="151"/>
      <c r="C2" s="152">
        <f>'Inc Tax Estimator'!E8</f>
        <v>0</v>
      </c>
      <c r="D2" s="152"/>
      <c r="E2" s="153" t="s">
        <v>87</v>
      </c>
      <c r="F2" s="154">
        <f>'Inc Tax Estimator'!E12</f>
        <v>0</v>
      </c>
      <c r="G2" s="152"/>
      <c r="H2" s="254"/>
      <c r="I2" s="255" t="s">
        <v>103</v>
      </c>
      <c r="J2" s="256"/>
      <c r="K2" s="1184">
        <v>2005</v>
      </c>
      <c r="L2" s="257">
        <v>2010</v>
      </c>
    </row>
    <row r="3" spans="1:12" ht="12.75">
      <c r="A3" s="155" t="s">
        <v>84</v>
      </c>
      <c r="B3" s="151"/>
      <c r="C3" s="152">
        <f>'Inc Tax Estimator'!E17</f>
        <v>0</v>
      </c>
      <c r="D3" s="152"/>
      <c r="E3" s="153" t="s">
        <v>104</v>
      </c>
      <c r="F3" s="156">
        <f>IF(F2=0,0,IF(F2&gt;VLOOKUP(C2,H6:L10,5,TRUE),VLOOKUP(F2,B7:F56,5,TRUE),F6))</f>
        <v>0</v>
      </c>
      <c r="G3" s="152"/>
      <c r="H3" s="1312" t="s">
        <v>102</v>
      </c>
      <c r="I3" s="1313"/>
      <c r="J3" s="222"/>
      <c r="K3" s="1185">
        <v>3200</v>
      </c>
      <c r="L3" s="264">
        <v>3650</v>
      </c>
    </row>
    <row r="4" spans="1:12" ht="12.75">
      <c r="A4" s="150" t="s">
        <v>105</v>
      </c>
      <c r="B4" s="151"/>
      <c r="C4" s="223">
        <f>'Inc Stmt'!B2</f>
        <v>2010</v>
      </c>
      <c r="D4" s="152"/>
      <c r="E4" s="157"/>
      <c r="F4" s="158"/>
      <c r="G4" s="152"/>
      <c r="H4" s="254"/>
      <c r="I4" s="1314"/>
      <c r="J4" s="1314"/>
      <c r="K4" s="1314"/>
      <c r="L4" s="1186"/>
    </row>
    <row r="5" spans="1:12" ht="12.75">
      <c r="A5" s="150" t="s">
        <v>106</v>
      </c>
      <c r="B5" s="151" t="s">
        <v>87</v>
      </c>
      <c r="C5" s="159" t="s">
        <v>107</v>
      </c>
      <c r="D5" s="159"/>
      <c r="E5" s="160" t="s">
        <v>108</v>
      </c>
      <c r="F5" s="161" t="s">
        <v>104</v>
      </c>
      <c r="H5" s="1315" t="s">
        <v>75</v>
      </c>
      <c r="I5" s="1316"/>
      <c r="J5" s="198" t="s">
        <v>109</v>
      </c>
      <c r="K5" s="252" t="s">
        <v>109</v>
      </c>
      <c r="L5" s="253" t="s">
        <v>109</v>
      </c>
    </row>
    <row r="6" spans="1:12" ht="12.75">
      <c r="A6" s="150">
        <v>0</v>
      </c>
      <c r="B6" s="162">
        <f>IF(C2=1,I12,IF(C2=2,I13,IF(C2=3,I14,IF(C2=4,I15,0))))</f>
        <v>0</v>
      </c>
      <c r="C6" s="159">
        <v>0</v>
      </c>
      <c r="D6" s="159"/>
      <c r="E6" s="160">
        <f>IF(C4=2005,K3,L3)</f>
        <v>3650</v>
      </c>
      <c r="F6" s="1216">
        <f aca="true" t="shared" si="0" ref="F6:F56">E6*$C$3</f>
        <v>0</v>
      </c>
      <c r="H6" s="258">
        <v>1</v>
      </c>
      <c r="I6" s="199" t="s">
        <v>186</v>
      </c>
      <c r="J6" s="1189"/>
      <c r="K6" s="1185">
        <v>145950</v>
      </c>
      <c r="L6" s="264">
        <v>166800</v>
      </c>
    </row>
    <row r="7" spans="1:12" ht="12.75">
      <c r="A7" s="150">
        <v>1</v>
      </c>
      <c r="B7" s="151" t="e">
        <f>VLOOKUP(C2,H6:L10,IF(C4=2005,4,5),FALSE)</f>
        <v>#N/A</v>
      </c>
      <c r="C7" s="159">
        <f>2%*A7*I$17</f>
        <v>0</v>
      </c>
      <c r="D7" s="159"/>
      <c r="E7" s="160">
        <f aca="true" t="shared" si="1" ref="E7:E56">$E$6*(1-C7)</f>
        <v>3650</v>
      </c>
      <c r="F7" s="161">
        <f t="shared" si="0"/>
        <v>0</v>
      </c>
      <c r="H7" s="259">
        <v>2</v>
      </c>
      <c r="I7" s="200" t="s">
        <v>187</v>
      </c>
      <c r="J7" s="1190"/>
      <c r="K7" s="1185">
        <v>218950</v>
      </c>
      <c r="L7" s="264">
        <v>250200</v>
      </c>
    </row>
    <row r="8" spans="1:12" ht="12.75">
      <c r="A8" s="150">
        <f aca="true" t="shared" si="2" ref="A8:A56">A7+1</f>
        <v>2</v>
      </c>
      <c r="B8" s="151" t="e">
        <f>$B$7+(2500*A8-2500)</f>
        <v>#N/A</v>
      </c>
      <c r="C8" s="159">
        <f aca="true" t="shared" si="3" ref="C8:C56">2%*A8*I$17</f>
        <v>0</v>
      </c>
      <c r="D8" s="159"/>
      <c r="E8" s="160">
        <f t="shared" si="1"/>
        <v>3650</v>
      </c>
      <c r="F8" s="161">
        <f t="shared" si="0"/>
        <v>0</v>
      </c>
      <c r="H8" s="259">
        <v>3</v>
      </c>
      <c r="I8" s="200" t="s">
        <v>188</v>
      </c>
      <c r="J8" s="1190"/>
      <c r="K8" s="1185">
        <v>109475</v>
      </c>
      <c r="L8" s="264">
        <v>125100</v>
      </c>
    </row>
    <row r="9" spans="1:12" ht="12.75">
      <c r="A9" s="150">
        <f t="shared" si="2"/>
        <v>3</v>
      </c>
      <c r="B9" s="151" t="e">
        <f aca="true" t="shared" si="4" ref="B9:B56">$B$7+(2500*A9-2500)</f>
        <v>#N/A</v>
      </c>
      <c r="C9" s="159">
        <f t="shared" si="3"/>
        <v>0</v>
      </c>
      <c r="D9" s="159"/>
      <c r="E9" s="160">
        <f t="shared" si="1"/>
        <v>3650</v>
      </c>
      <c r="F9" s="161">
        <f t="shared" si="0"/>
        <v>0</v>
      </c>
      <c r="H9" s="259">
        <v>4</v>
      </c>
      <c r="I9" s="200" t="s">
        <v>189</v>
      </c>
      <c r="J9" s="1190"/>
      <c r="K9" s="1185">
        <v>182450</v>
      </c>
      <c r="L9" s="264">
        <v>208500</v>
      </c>
    </row>
    <row r="10" spans="1:12" ht="13.5" thickBot="1">
      <c r="A10" s="150">
        <f t="shared" si="2"/>
        <v>4</v>
      </c>
      <c r="B10" s="151" t="e">
        <f t="shared" si="4"/>
        <v>#N/A</v>
      </c>
      <c r="C10" s="159">
        <f t="shared" si="3"/>
        <v>0</v>
      </c>
      <c r="D10" s="159"/>
      <c r="E10" s="160">
        <f t="shared" si="1"/>
        <v>3650</v>
      </c>
      <c r="F10" s="161">
        <f t="shared" si="0"/>
        <v>0</v>
      </c>
      <c r="H10" s="260">
        <v>5</v>
      </c>
      <c r="I10" s="201" t="s">
        <v>190</v>
      </c>
      <c r="J10" s="1191"/>
      <c r="K10" s="1188">
        <v>218950</v>
      </c>
      <c r="L10" s="1187">
        <f>L7</f>
        <v>250200</v>
      </c>
    </row>
    <row r="11" spans="1:10" ht="12.75">
      <c r="A11" s="150">
        <f t="shared" si="2"/>
        <v>5</v>
      </c>
      <c r="B11" s="151" t="e">
        <f t="shared" si="4"/>
        <v>#N/A</v>
      </c>
      <c r="C11" s="159">
        <f t="shared" si="3"/>
        <v>0</v>
      </c>
      <c r="D11" s="159"/>
      <c r="E11" s="160">
        <f t="shared" si="1"/>
        <v>3650</v>
      </c>
      <c r="F11" s="161">
        <f t="shared" si="0"/>
        <v>0</v>
      </c>
      <c r="H11" s="194"/>
      <c r="I11" s="194"/>
      <c r="J11" s="194"/>
    </row>
    <row r="12" spans="1:10" ht="12.75">
      <c r="A12" s="150">
        <f t="shared" si="2"/>
        <v>6</v>
      </c>
      <c r="B12" s="151" t="e">
        <f t="shared" si="4"/>
        <v>#N/A</v>
      </c>
      <c r="C12" s="159">
        <f t="shared" si="3"/>
        <v>0</v>
      </c>
      <c r="D12" s="159"/>
      <c r="E12" s="160">
        <f t="shared" si="1"/>
        <v>3650</v>
      </c>
      <c r="F12" s="161">
        <f t="shared" si="0"/>
        <v>0</v>
      </c>
      <c r="H12" s="194"/>
      <c r="I12" s="261" t="s">
        <v>847</v>
      </c>
      <c r="J12" s="262"/>
    </row>
    <row r="13" spans="1:10" ht="12.75">
      <c r="A13" s="150">
        <f t="shared" si="2"/>
        <v>7</v>
      </c>
      <c r="B13" s="151" t="e">
        <f t="shared" si="4"/>
        <v>#N/A</v>
      </c>
      <c r="C13" s="159">
        <f t="shared" si="3"/>
        <v>0</v>
      </c>
      <c r="D13" s="159"/>
      <c r="E13" s="160">
        <f t="shared" si="1"/>
        <v>3650</v>
      </c>
      <c r="F13" s="161">
        <f t="shared" si="0"/>
        <v>0</v>
      </c>
      <c r="H13" s="262"/>
      <c r="I13" s="261" t="s">
        <v>848</v>
      </c>
      <c r="J13" s="262"/>
    </row>
    <row r="14" spans="1:10" ht="12.75">
      <c r="A14" s="150">
        <f t="shared" si="2"/>
        <v>8</v>
      </c>
      <c r="B14" s="151" t="e">
        <f t="shared" si="4"/>
        <v>#N/A</v>
      </c>
      <c r="C14" s="159">
        <f t="shared" si="3"/>
        <v>0</v>
      </c>
      <c r="D14" s="159"/>
      <c r="E14" s="160">
        <f t="shared" si="1"/>
        <v>3650</v>
      </c>
      <c r="F14" s="161">
        <f t="shared" si="0"/>
        <v>0</v>
      </c>
      <c r="H14" s="262"/>
      <c r="I14" s="261" t="s">
        <v>849</v>
      </c>
      <c r="J14" s="262"/>
    </row>
    <row r="15" spans="1:10" ht="12.75">
      <c r="A15" s="150">
        <f t="shared" si="2"/>
        <v>9</v>
      </c>
      <c r="B15" s="151" t="e">
        <f t="shared" si="4"/>
        <v>#N/A</v>
      </c>
      <c r="C15" s="159">
        <f t="shared" si="3"/>
        <v>0</v>
      </c>
      <c r="D15" s="159"/>
      <c r="E15" s="160">
        <f t="shared" si="1"/>
        <v>3650</v>
      </c>
      <c r="F15" s="161">
        <f t="shared" si="0"/>
        <v>0</v>
      </c>
      <c r="H15" s="262"/>
      <c r="I15" s="261" t="s">
        <v>850</v>
      </c>
      <c r="J15" s="262"/>
    </row>
    <row r="16" spans="1:10" ht="12.75">
      <c r="A16" s="150">
        <f t="shared" si="2"/>
        <v>10</v>
      </c>
      <c r="B16" s="151" t="e">
        <f t="shared" si="4"/>
        <v>#N/A</v>
      </c>
      <c r="C16" s="159">
        <f t="shared" si="3"/>
        <v>0</v>
      </c>
      <c r="D16" s="159"/>
      <c r="E16" s="160">
        <f t="shared" si="1"/>
        <v>3650</v>
      </c>
      <c r="F16" s="161">
        <f t="shared" si="0"/>
        <v>0</v>
      </c>
      <c r="H16" s="262"/>
      <c r="I16" s="263"/>
      <c r="J16" s="262"/>
    </row>
    <row r="17" spans="1:10" ht="12.75">
      <c r="A17" s="150">
        <f t="shared" si="2"/>
        <v>11</v>
      </c>
      <c r="B17" s="151" t="e">
        <f t="shared" si="4"/>
        <v>#N/A</v>
      </c>
      <c r="C17" s="159">
        <f t="shared" si="3"/>
        <v>0</v>
      </c>
      <c r="D17" s="159"/>
      <c r="E17" s="160">
        <f t="shared" si="1"/>
        <v>3650</v>
      </c>
      <c r="F17" s="161">
        <f t="shared" si="0"/>
        <v>0</v>
      </c>
      <c r="H17" s="262"/>
      <c r="I17" s="1215">
        <f>0/3</f>
        <v>0</v>
      </c>
      <c r="J17" s="262"/>
    </row>
    <row r="18" spans="1:10" ht="12.75">
      <c r="A18" s="150">
        <f t="shared" si="2"/>
        <v>12</v>
      </c>
      <c r="B18" s="151" t="e">
        <f t="shared" si="4"/>
        <v>#N/A</v>
      </c>
      <c r="C18" s="159">
        <f t="shared" si="3"/>
        <v>0</v>
      </c>
      <c r="D18" s="159"/>
      <c r="E18" s="160">
        <f t="shared" si="1"/>
        <v>3650</v>
      </c>
      <c r="F18" s="161">
        <f t="shared" si="0"/>
        <v>0</v>
      </c>
      <c r="H18" s="262"/>
      <c r="I18" s="262"/>
      <c r="J18" s="262"/>
    </row>
    <row r="19" spans="1:6" ht="12.75">
      <c r="A19" s="150">
        <f t="shared" si="2"/>
        <v>13</v>
      </c>
      <c r="B19" s="151" t="e">
        <f t="shared" si="4"/>
        <v>#N/A</v>
      </c>
      <c r="C19" s="159">
        <f t="shared" si="3"/>
        <v>0</v>
      </c>
      <c r="D19" s="159"/>
      <c r="E19" s="160">
        <f t="shared" si="1"/>
        <v>3650</v>
      </c>
      <c r="F19" s="161">
        <f t="shared" si="0"/>
        <v>0</v>
      </c>
    </row>
    <row r="20" spans="1:6" ht="12.75">
      <c r="A20" s="150">
        <f t="shared" si="2"/>
        <v>14</v>
      </c>
      <c r="B20" s="151" t="e">
        <f t="shared" si="4"/>
        <v>#N/A</v>
      </c>
      <c r="C20" s="159">
        <f t="shared" si="3"/>
        <v>0</v>
      </c>
      <c r="D20" s="159"/>
      <c r="E20" s="160">
        <f t="shared" si="1"/>
        <v>3650</v>
      </c>
      <c r="F20" s="161">
        <f t="shared" si="0"/>
        <v>0</v>
      </c>
    </row>
    <row r="21" spans="1:6" ht="12.75">
      <c r="A21" s="150">
        <f t="shared" si="2"/>
        <v>15</v>
      </c>
      <c r="B21" s="151" t="e">
        <f t="shared" si="4"/>
        <v>#N/A</v>
      </c>
      <c r="C21" s="159">
        <f t="shared" si="3"/>
        <v>0</v>
      </c>
      <c r="D21" s="159"/>
      <c r="E21" s="160">
        <f t="shared" si="1"/>
        <v>3650</v>
      </c>
      <c r="F21" s="161">
        <f t="shared" si="0"/>
        <v>0</v>
      </c>
    </row>
    <row r="22" spans="1:6" ht="12.75">
      <c r="A22" s="150">
        <f t="shared" si="2"/>
        <v>16</v>
      </c>
      <c r="B22" s="151" t="e">
        <f t="shared" si="4"/>
        <v>#N/A</v>
      </c>
      <c r="C22" s="159">
        <f t="shared" si="3"/>
        <v>0</v>
      </c>
      <c r="D22" s="159"/>
      <c r="E22" s="160">
        <f t="shared" si="1"/>
        <v>3650</v>
      </c>
      <c r="F22" s="161">
        <f t="shared" si="0"/>
        <v>0</v>
      </c>
    </row>
    <row r="23" spans="1:6" ht="12.75">
      <c r="A23" s="150">
        <f t="shared" si="2"/>
        <v>17</v>
      </c>
      <c r="B23" s="151" t="e">
        <f t="shared" si="4"/>
        <v>#N/A</v>
      </c>
      <c r="C23" s="159">
        <f t="shared" si="3"/>
        <v>0</v>
      </c>
      <c r="D23" s="159"/>
      <c r="E23" s="160">
        <f t="shared" si="1"/>
        <v>3650</v>
      </c>
      <c r="F23" s="161">
        <f t="shared" si="0"/>
        <v>0</v>
      </c>
    </row>
    <row r="24" spans="1:6" ht="12.75">
      <c r="A24" s="150">
        <f t="shared" si="2"/>
        <v>18</v>
      </c>
      <c r="B24" s="151" t="e">
        <f t="shared" si="4"/>
        <v>#N/A</v>
      </c>
      <c r="C24" s="159">
        <f t="shared" si="3"/>
        <v>0</v>
      </c>
      <c r="D24" s="159"/>
      <c r="E24" s="160">
        <f t="shared" si="1"/>
        <v>3650</v>
      </c>
      <c r="F24" s="161">
        <f t="shared" si="0"/>
        <v>0</v>
      </c>
    </row>
    <row r="25" spans="1:6" ht="12.75">
      <c r="A25" s="150">
        <f t="shared" si="2"/>
        <v>19</v>
      </c>
      <c r="B25" s="151" t="e">
        <f t="shared" si="4"/>
        <v>#N/A</v>
      </c>
      <c r="C25" s="159">
        <f t="shared" si="3"/>
        <v>0</v>
      </c>
      <c r="D25" s="159"/>
      <c r="E25" s="160">
        <f t="shared" si="1"/>
        <v>3650</v>
      </c>
      <c r="F25" s="161">
        <f t="shared" si="0"/>
        <v>0</v>
      </c>
    </row>
    <row r="26" spans="1:6" ht="12.75">
      <c r="A26" s="150">
        <f t="shared" si="2"/>
        <v>20</v>
      </c>
      <c r="B26" s="151" t="e">
        <f t="shared" si="4"/>
        <v>#N/A</v>
      </c>
      <c r="C26" s="159">
        <f t="shared" si="3"/>
        <v>0</v>
      </c>
      <c r="D26" s="159"/>
      <c r="E26" s="160">
        <f t="shared" si="1"/>
        <v>3650</v>
      </c>
      <c r="F26" s="161">
        <f t="shared" si="0"/>
        <v>0</v>
      </c>
    </row>
    <row r="27" spans="1:6" ht="12.75">
      <c r="A27" s="150">
        <f t="shared" si="2"/>
        <v>21</v>
      </c>
      <c r="B27" s="151" t="e">
        <f t="shared" si="4"/>
        <v>#N/A</v>
      </c>
      <c r="C27" s="159">
        <f t="shared" si="3"/>
        <v>0</v>
      </c>
      <c r="D27" s="159"/>
      <c r="E27" s="160">
        <f t="shared" si="1"/>
        <v>3650</v>
      </c>
      <c r="F27" s="161">
        <f t="shared" si="0"/>
        <v>0</v>
      </c>
    </row>
    <row r="28" spans="1:6" ht="12.75">
      <c r="A28" s="150">
        <f t="shared" si="2"/>
        <v>22</v>
      </c>
      <c r="B28" s="151" t="e">
        <f t="shared" si="4"/>
        <v>#N/A</v>
      </c>
      <c r="C28" s="159">
        <f t="shared" si="3"/>
        <v>0</v>
      </c>
      <c r="D28" s="159"/>
      <c r="E28" s="160">
        <f t="shared" si="1"/>
        <v>3650</v>
      </c>
      <c r="F28" s="161">
        <f t="shared" si="0"/>
        <v>0</v>
      </c>
    </row>
    <row r="29" spans="1:6" ht="12.75">
      <c r="A29" s="150">
        <f t="shared" si="2"/>
        <v>23</v>
      </c>
      <c r="B29" s="151" t="e">
        <f t="shared" si="4"/>
        <v>#N/A</v>
      </c>
      <c r="C29" s="159">
        <f t="shared" si="3"/>
        <v>0</v>
      </c>
      <c r="D29" s="159"/>
      <c r="E29" s="160">
        <f t="shared" si="1"/>
        <v>3650</v>
      </c>
      <c r="F29" s="161">
        <f t="shared" si="0"/>
        <v>0</v>
      </c>
    </row>
    <row r="30" spans="1:6" ht="12.75">
      <c r="A30" s="150">
        <f t="shared" si="2"/>
        <v>24</v>
      </c>
      <c r="B30" s="151" t="e">
        <f t="shared" si="4"/>
        <v>#N/A</v>
      </c>
      <c r="C30" s="159">
        <f t="shared" si="3"/>
        <v>0</v>
      </c>
      <c r="D30" s="159"/>
      <c r="E30" s="160">
        <f t="shared" si="1"/>
        <v>3650</v>
      </c>
      <c r="F30" s="161">
        <f t="shared" si="0"/>
        <v>0</v>
      </c>
    </row>
    <row r="31" spans="1:6" ht="12.75">
      <c r="A31" s="150">
        <f t="shared" si="2"/>
        <v>25</v>
      </c>
      <c r="B31" s="151" t="e">
        <f t="shared" si="4"/>
        <v>#N/A</v>
      </c>
      <c r="C31" s="159">
        <f t="shared" si="3"/>
        <v>0</v>
      </c>
      <c r="D31" s="159"/>
      <c r="E31" s="160">
        <f t="shared" si="1"/>
        <v>3650</v>
      </c>
      <c r="F31" s="161">
        <f t="shared" si="0"/>
        <v>0</v>
      </c>
    </row>
    <row r="32" spans="1:6" ht="12.75">
      <c r="A32" s="150">
        <f t="shared" si="2"/>
        <v>26</v>
      </c>
      <c r="B32" s="151" t="e">
        <f t="shared" si="4"/>
        <v>#N/A</v>
      </c>
      <c r="C32" s="159">
        <f t="shared" si="3"/>
        <v>0</v>
      </c>
      <c r="D32" s="159"/>
      <c r="E32" s="160">
        <f t="shared" si="1"/>
        <v>3650</v>
      </c>
      <c r="F32" s="161">
        <f t="shared" si="0"/>
        <v>0</v>
      </c>
    </row>
    <row r="33" spans="1:6" ht="12.75">
      <c r="A33" s="150">
        <f t="shared" si="2"/>
        <v>27</v>
      </c>
      <c r="B33" s="151" t="e">
        <f t="shared" si="4"/>
        <v>#N/A</v>
      </c>
      <c r="C33" s="159">
        <f t="shared" si="3"/>
        <v>0</v>
      </c>
      <c r="D33" s="159"/>
      <c r="E33" s="160">
        <f t="shared" si="1"/>
        <v>3650</v>
      </c>
      <c r="F33" s="161">
        <f t="shared" si="0"/>
        <v>0</v>
      </c>
    </row>
    <row r="34" spans="1:6" ht="12.75">
      <c r="A34" s="150">
        <f t="shared" si="2"/>
        <v>28</v>
      </c>
      <c r="B34" s="151" t="e">
        <f t="shared" si="4"/>
        <v>#N/A</v>
      </c>
      <c r="C34" s="159">
        <f t="shared" si="3"/>
        <v>0</v>
      </c>
      <c r="D34" s="159"/>
      <c r="E34" s="160">
        <f t="shared" si="1"/>
        <v>3650</v>
      </c>
      <c r="F34" s="161">
        <f t="shared" si="0"/>
        <v>0</v>
      </c>
    </row>
    <row r="35" spans="1:6" ht="12.75">
      <c r="A35" s="150">
        <f t="shared" si="2"/>
        <v>29</v>
      </c>
      <c r="B35" s="151" t="e">
        <f t="shared" si="4"/>
        <v>#N/A</v>
      </c>
      <c r="C35" s="159">
        <f t="shared" si="3"/>
        <v>0</v>
      </c>
      <c r="D35" s="159"/>
      <c r="E35" s="160">
        <f t="shared" si="1"/>
        <v>3650</v>
      </c>
      <c r="F35" s="161">
        <f t="shared" si="0"/>
        <v>0</v>
      </c>
    </row>
    <row r="36" spans="1:6" ht="12.75">
      <c r="A36" s="150">
        <f t="shared" si="2"/>
        <v>30</v>
      </c>
      <c r="B36" s="151" t="e">
        <f t="shared" si="4"/>
        <v>#N/A</v>
      </c>
      <c r="C36" s="159">
        <f t="shared" si="3"/>
        <v>0</v>
      </c>
      <c r="D36" s="159"/>
      <c r="E36" s="160">
        <f t="shared" si="1"/>
        <v>3650</v>
      </c>
      <c r="F36" s="161">
        <f t="shared" si="0"/>
        <v>0</v>
      </c>
    </row>
    <row r="37" spans="1:6" ht="12.75">
      <c r="A37" s="150">
        <f t="shared" si="2"/>
        <v>31</v>
      </c>
      <c r="B37" s="151" t="e">
        <f t="shared" si="4"/>
        <v>#N/A</v>
      </c>
      <c r="C37" s="159">
        <f t="shared" si="3"/>
        <v>0</v>
      </c>
      <c r="D37" s="159"/>
      <c r="E37" s="160">
        <f t="shared" si="1"/>
        <v>3650</v>
      </c>
      <c r="F37" s="161">
        <f t="shared" si="0"/>
        <v>0</v>
      </c>
    </row>
    <row r="38" spans="1:6" ht="12.75">
      <c r="A38" s="150">
        <f t="shared" si="2"/>
        <v>32</v>
      </c>
      <c r="B38" s="151" t="e">
        <f t="shared" si="4"/>
        <v>#N/A</v>
      </c>
      <c r="C38" s="159">
        <f t="shared" si="3"/>
        <v>0</v>
      </c>
      <c r="D38" s="159"/>
      <c r="E38" s="160">
        <f t="shared" si="1"/>
        <v>3650</v>
      </c>
      <c r="F38" s="161">
        <f t="shared" si="0"/>
        <v>0</v>
      </c>
    </row>
    <row r="39" spans="1:6" ht="12.75">
      <c r="A39" s="150">
        <f t="shared" si="2"/>
        <v>33</v>
      </c>
      <c r="B39" s="151" t="e">
        <f t="shared" si="4"/>
        <v>#N/A</v>
      </c>
      <c r="C39" s="159">
        <f t="shared" si="3"/>
        <v>0</v>
      </c>
      <c r="D39" s="159"/>
      <c r="E39" s="160">
        <f t="shared" si="1"/>
        <v>3650</v>
      </c>
      <c r="F39" s="161">
        <f t="shared" si="0"/>
        <v>0</v>
      </c>
    </row>
    <row r="40" spans="1:6" ht="12.75">
      <c r="A40" s="150">
        <f t="shared" si="2"/>
        <v>34</v>
      </c>
      <c r="B40" s="151" t="e">
        <f t="shared" si="4"/>
        <v>#N/A</v>
      </c>
      <c r="C40" s="159">
        <f t="shared" si="3"/>
        <v>0</v>
      </c>
      <c r="D40" s="159"/>
      <c r="E40" s="160">
        <f t="shared" si="1"/>
        <v>3650</v>
      </c>
      <c r="F40" s="161">
        <f t="shared" si="0"/>
        <v>0</v>
      </c>
    </row>
    <row r="41" spans="1:6" ht="12.75">
      <c r="A41" s="150">
        <f t="shared" si="2"/>
        <v>35</v>
      </c>
      <c r="B41" s="151" t="e">
        <f t="shared" si="4"/>
        <v>#N/A</v>
      </c>
      <c r="C41" s="159">
        <f t="shared" si="3"/>
        <v>0</v>
      </c>
      <c r="D41" s="159"/>
      <c r="E41" s="160">
        <f t="shared" si="1"/>
        <v>3650</v>
      </c>
      <c r="F41" s="161">
        <f t="shared" si="0"/>
        <v>0</v>
      </c>
    </row>
    <row r="42" spans="1:6" ht="12.75">
      <c r="A42" s="150">
        <f t="shared" si="2"/>
        <v>36</v>
      </c>
      <c r="B42" s="151" t="e">
        <f t="shared" si="4"/>
        <v>#N/A</v>
      </c>
      <c r="C42" s="159">
        <f t="shared" si="3"/>
        <v>0</v>
      </c>
      <c r="D42" s="159"/>
      <c r="E42" s="160">
        <f t="shared" si="1"/>
        <v>3650</v>
      </c>
      <c r="F42" s="161">
        <f t="shared" si="0"/>
        <v>0</v>
      </c>
    </row>
    <row r="43" spans="1:6" ht="12.75">
      <c r="A43" s="150">
        <f t="shared" si="2"/>
        <v>37</v>
      </c>
      <c r="B43" s="151" t="e">
        <f t="shared" si="4"/>
        <v>#N/A</v>
      </c>
      <c r="C43" s="159">
        <f t="shared" si="3"/>
        <v>0</v>
      </c>
      <c r="D43" s="159"/>
      <c r="E43" s="160">
        <f t="shared" si="1"/>
        <v>3650</v>
      </c>
      <c r="F43" s="161">
        <f t="shared" si="0"/>
        <v>0</v>
      </c>
    </row>
    <row r="44" spans="1:6" ht="12.75">
      <c r="A44" s="150">
        <f t="shared" si="2"/>
        <v>38</v>
      </c>
      <c r="B44" s="151" t="e">
        <f t="shared" si="4"/>
        <v>#N/A</v>
      </c>
      <c r="C44" s="159">
        <f t="shared" si="3"/>
        <v>0</v>
      </c>
      <c r="D44" s="159"/>
      <c r="E44" s="160">
        <f t="shared" si="1"/>
        <v>3650</v>
      </c>
      <c r="F44" s="161">
        <f t="shared" si="0"/>
        <v>0</v>
      </c>
    </row>
    <row r="45" spans="1:6" ht="12.75">
      <c r="A45" s="150">
        <f t="shared" si="2"/>
        <v>39</v>
      </c>
      <c r="B45" s="151" t="e">
        <f t="shared" si="4"/>
        <v>#N/A</v>
      </c>
      <c r="C45" s="159">
        <f t="shared" si="3"/>
        <v>0</v>
      </c>
      <c r="D45" s="159"/>
      <c r="E45" s="160">
        <f t="shared" si="1"/>
        <v>3650</v>
      </c>
      <c r="F45" s="161">
        <f t="shared" si="0"/>
        <v>0</v>
      </c>
    </row>
    <row r="46" spans="1:6" ht="12.75">
      <c r="A46" s="150">
        <f t="shared" si="2"/>
        <v>40</v>
      </c>
      <c r="B46" s="151" t="e">
        <f t="shared" si="4"/>
        <v>#N/A</v>
      </c>
      <c r="C46" s="159">
        <f t="shared" si="3"/>
        <v>0</v>
      </c>
      <c r="D46" s="159"/>
      <c r="E46" s="160">
        <f t="shared" si="1"/>
        <v>3650</v>
      </c>
      <c r="F46" s="161">
        <f t="shared" si="0"/>
        <v>0</v>
      </c>
    </row>
    <row r="47" spans="1:6" ht="12.75">
      <c r="A47" s="150">
        <f t="shared" si="2"/>
        <v>41</v>
      </c>
      <c r="B47" s="151" t="e">
        <f t="shared" si="4"/>
        <v>#N/A</v>
      </c>
      <c r="C47" s="159">
        <f t="shared" si="3"/>
        <v>0</v>
      </c>
      <c r="D47" s="159"/>
      <c r="E47" s="160">
        <f t="shared" si="1"/>
        <v>3650</v>
      </c>
      <c r="F47" s="161">
        <f t="shared" si="0"/>
        <v>0</v>
      </c>
    </row>
    <row r="48" spans="1:6" ht="12.75">
      <c r="A48" s="150">
        <f t="shared" si="2"/>
        <v>42</v>
      </c>
      <c r="B48" s="151" t="e">
        <f t="shared" si="4"/>
        <v>#N/A</v>
      </c>
      <c r="C48" s="159">
        <f t="shared" si="3"/>
        <v>0</v>
      </c>
      <c r="D48" s="159"/>
      <c r="E48" s="160">
        <f t="shared" si="1"/>
        <v>3650</v>
      </c>
      <c r="F48" s="161">
        <f t="shared" si="0"/>
        <v>0</v>
      </c>
    </row>
    <row r="49" spans="1:6" ht="12.75">
      <c r="A49" s="150">
        <f t="shared" si="2"/>
        <v>43</v>
      </c>
      <c r="B49" s="151" t="e">
        <f t="shared" si="4"/>
        <v>#N/A</v>
      </c>
      <c r="C49" s="159">
        <f t="shared" si="3"/>
        <v>0</v>
      </c>
      <c r="D49" s="159"/>
      <c r="E49" s="160">
        <f t="shared" si="1"/>
        <v>3650</v>
      </c>
      <c r="F49" s="161">
        <f t="shared" si="0"/>
        <v>0</v>
      </c>
    </row>
    <row r="50" spans="1:6" ht="12.75">
      <c r="A50" s="150">
        <f t="shared" si="2"/>
        <v>44</v>
      </c>
      <c r="B50" s="151" t="e">
        <f t="shared" si="4"/>
        <v>#N/A</v>
      </c>
      <c r="C50" s="159">
        <f t="shared" si="3"/>
        <v>0</v>
      </c>
      <c r="D50" s="159"/>
      <c r="E50" s="160">
        <f t="shared" si="1"/>
        <v>3650</v>
      </c>
      <c r="F50" s="161">
        <f t="shared" si="0"/>
        <v>0</v>
      </c>
    </row>
    <row r="51" spans="1:6" ht="12.75">
      <c r="A51" s="150">
        <f t="shared" si="2"/>
        <v>45</v>
      </c>
      <c r="B51" s="151" t="e">
        <f t="shared" si="4"/>
        <v>#N/A</v>
      </c>
      <c r="C51" s="159">
        <f t="shared" si="3"/>
        <v>0</v>
      </c>
      <c r="D51" s="159"/>
      <c r="E51" s="160">
        <f t="shared" si="1"/>
        <v>3650</v>
      </c>
      <c r="F51" s="161">
        <f t="shared" si="0"/>
        <v>0</v>
      </c>
    </row>
    <row r="52" spans="1:6" ht="12.75">
      <c r="A52" s="150">
        <f t="shared" si="2"/>
        <v>46</v>
      </c>
      <c r="B52" s="151" t="e">
        <f t="shared" si="4"/>
        <v>#N/A</v>
      </c>
      <c r="C52" s="159">
        <f t="shared" si="3"/>
        <v>0</v>
      </c>
      <c r="D52" s="159"/>
      <c r="E52" s="160">
        <f t="shared" si="1"/>
        <v>3650</v>
      </c>
      <c r="F52" s="161">
        <f t="shared" si="0"/>
        <v>0</v>
      </c>
    </row>
    <row r="53" spans="1:6" ht="12.75">
      <c r="A53" s="150">
        <f t="shared" si="2"/>
        <v>47</v>
      </c>
      <c r="B53" s="151" t="e">
        <f t="shared" si="4"/>
        <v>#N/A</v>
      </c>
      <c r="C53" s="159">
        <f t="shared" si="3"/>
        <v>0</v>
      </c>
      <c r="D53" s="159"/>
      <c r="E53" s="160">
        <f t="shared" si="1"/>
        <v>3650</v>
      </c>
      <c r="F53" s="161">
        <f t="shared" si="0"/>
        <v>0</v>
      </c>
    </row>
    <row r="54" spans="1:6" ht="12.75">
      <c r="A54" s="150">
        <f t="shared" si="2"/>
        <v>48</v>
      </c>
      <c r="B54" s="151" t="e">
        <f t="shared" si="4"/>
        <v>#N/A</v>
      </c>
      <c r="C54" s="159">
        <f t="shared" si="3"/>
        <v>0</v>
      </c>
      <c r="D54" s="159"/>
      <c r="E54" s="160">
        <f t="shared" si="1"/>
        <v>3650</v>
      </c>
      <c r="F54" s="161">
        <f t="shared" si="0"/>
        <v>0</v>
      </c>
    </row>
    <row r="55" spans="1:6" ht="12.75">
      <c r="A55" s="150">
        <f t="shared" si="2"/>
        <v>49</v>
      </c>
      <c r="B55" s="151" t="e">
        <f t="shared" si="4"/>
        <v>#N/A</v>
      </c>
      <c r="C55" s="159">
        <f t="shared" si="3"/>
        <v>0</v>
      </c>
      <c r="D55" s="159"/>
      <c r="E55" s="160">
        <f t="shared" si="1"/>
        <v>3650</v>
      </c>
      <c r="F55" s="161">
        <f t="shared" si="0"/>
        <v>0</v>
      </c>
    </row>
    <row r="56" spans="1:6" ht="13.5" thickBot="1">
      <c r="A56" s="163">
        <f t="shared" si="2"/>
        <v>50</v>
      </c>
      <c r="B56" s="164" t="e">
        <f t="shared" si="4"/>
        <v>#N/A</v>
      </c>
      <c r="C56" s="165">
        <f t="shared" si="3"/>
        <v>0</v>
      </c>
      <c r="D56" s="165"/>
      <c r="E56" s="166">
        <f t="shared" si="1"/>
        <v>3650</v>
      </c>
      <c r="F56" s="167">
        <f t="shared" si="0"/>
        <v>0</v>
      </c>
    </row>
  </sheetData>
  <sheetProtection/>
  <mergeCells count="4">
    <mergeCell ref="H3:I3"/>
    <mergeCell ref="I4:K4"/>
    <mergeCell ref="H5:I5"/>
    <mergeCell ref="H1:L1"/>
  </mergeCells>
  <printOptions horizontalCentered="1"/>
  <pageMargins left="0.75" right="0.75" top="0.75"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Facilitator 2010</dc:title>
  <dc:subject/>
  <dc:creator/>
  <cp:keywords/>
  <dc:description/>
  <cp:lastModifiedBy>kseelbach</cp:lastModifiedBy>
  <cp:lastPrinted>2007-02-16T21:25:45Z</cp:lastPrinted>
  <dcterms:created xsi:type="dcterms:W3CDTF">2002-11-01T15:05:52Z</dcterms:created>
  <dcterms:modified xsi:type="dcterms:W3CDTF">2011-11-17T16:10:03Z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